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OCUMENTAZIONE UFFICIALE\AMBIENTE\AIA\PMC e REPORT\Report 2026 anno 2025\"/>
    </mc:Choice>
  </mc:AlternateContent>
  <xr:revisionPtr revIDLastSave="0" documentId="13_ncr:1_{FC3DE59D-6E6C-4625-BC5C-BA2B7DB2BDCF}" xr6:coauthVersionLast="47" xr6:coauthVersionMax="47" xr10:uidLastSave="{00000000-0000-0000-0000-000000000000}"/>
  <bookViews>
    <workbookView xWindow="-120" yWindow="-120" windowWidth="29040" windowHeight="15720" firstSheet="6" activeTab="9" xr2:uid="{450F7353-79CC-44F2-A20C-44F2A8613476}"/>
  </bookViews>
  <sheets>
    <sheet name="Indicazioni generali" sheetId="27" r:id="rId1"/>
    <sheet name="5.1 MP" sheetId="1" r:id="rId2"/>
    <sheet name="5.1 PF" sheetId="3" r:id="rId3"/>
    <sheet name="5.1 Sottoprodotti" sheetId="9" r:id="rId4"/>
    <sheet name="5.3 Attingimento idrico" sheetId="12" r:id="rId5"/>
    <sheet name="5.4 Risorse energetiche - BN" sheetId="14" r:id="rId6"/>
    <sheet name="5.5 Combustibili" sheetId="19" r:id="rId7"/>
    <sheet name="5.6 Emix in aria convogliate" sheetId="20" r:id="rId8"/>
    <sheet name="5.7.2 Emix. in acqua" sheetId="21" r:id="rId9"/>
    <sheet name="5.9 Rifiuti" sheetId="22" r:id="rId10"/>
    <sheet name="7 Indicatori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6" i="22" l="1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U66" i="22"/>
  <c r="V66" i="22"/>
  <c r="W66" i="22"/>
  <c r="X66" i="22"/>
  <c r="Y66" i="22"/>
  <c r="Z66" i="22"/>
  <c r="AA66" i="22"/>
  <c r="N17" i="3"/>
  <c r="N16" i="3"/>
  <c r="J27" i="1"/>
  <c r="C27" i="1"/>
  <c r="D27" i="1"/>
  <c r="E27" i="1"/>
  <c r="F27" i="1"/>
  <c r="G27" i="1"/>
  <c r="H27" i="1"/>
  <c r="I27" i="1"/>
  <c r="J19" i="1"/>
  <c r="C19" i="1"/>
  <c r="D19" i="1"/>
  <c r="E19" i="1"/>
  <c r="F19" i="1"/>
  <c r="G19" i="1"/>
  <c r="H19" i="1"/>
  <c r="I19" i="1"/>
  <c r="J11" i="1"/>
  <c r="C11" i="1"/>
  <c r="D11" i="1"/>
  <c r="E11" i="1"/>
  <c r="F11" i="1"/>
  <c r="G11" i="1"/>
  <c r="H11" i="1"/>
  <c r="I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<sst xmlns="http://schemas.openxmlformats.org/spreadsheetml/2006/main" count="1385" uniqueCount="472">
  <si>
    <t>Nome commerciale</t>
  </si>
  <si>
    <t>Bande</t>
  </si>
  <si>
    <t>Fili</t>
  </si>
  <si>
    <t>Mescole gomma</t>
  </si>
  <si>
    <t>Carta</t>
  </si>
  <si>
    <t>Prodotti chimici</t>
  </si>
  <si>
    <t>Tessuti</t>
  </si>
  <si>
    <t>CG</t>
  </si>
  <si>
    <t xml:space="preserve">Unità di misura </t>
  </si>
  <si>
    <t>kg</t>
  </si>
  <si>
    <t>2023</t>
  </si>
  <si>
    <t>2024</t>
  </si>
  <si>
    <t>Totale</t>
  </si>
  <si>
    <t xml:space="preserve">Tab. 1 </t>
  </si>
  <si>
    <t>Materie prime e prodotti ausiliari (se presenti)</t>
  </si>
  <si>
    <t>Tab. 4</t>
  </si>
  <si>
    <t>Prodotti finiti</t>
  </si>
  <si>
    <t>Prodotto Finiti</t>
  </si>
  <si>
    <t>Nastri trasportatori</t>
  </si>
  <si>
    <t>Altri prodotti</t>
  </si>
  <si>
    <t>t</t>
  </si>
  <si>
    <t>= EMAS</t>
  </si>
  <si>
    <t>DMF</t>
  </si>
  <si>
    <t>Tot. - carta = Tot. Materie Prime EMAS</t>
  </si>
  <si>
    <t>2022</t>
  </si>
  <si>
    <t>Materie prime</t>
  </si>
  <si>
    <t>EMAS - Materie prime</t>
  </si>
  <si>
    <t>Supporti</t>
  </si>
  <si>
    <t>Polimeri e additivi</t>
  </si>
  <si>
    <t>Totale EMAS</t>
  </si>
  <si>
    <t>PRODOTTI FINITI (kg)</t>
  </si>
  <si>
    <t>FAMIGLIE</t>
  </si>
  <si>
    <t>Cinghie</t>
  </si>
  <si>
    <t>CN</t>
  </si>
  <si>
    <t>Cinghiette</t>
  </si>
  <si>
    <t>DR</t>
  </si>
  <si>
    <t>Cinghie dentate</t>
  </si>
  <si>
    <t>ES</t>
  </si>
  <si>
    <t>Estrusi</t>
  </si>
  <si>
    <t>FP</t>
  </si>
  <si>
    <t>Film PU</t>
  </si>
  <si>
    <t>FT</t>
  </si>
  <si>
    <t>Finiti conto terzi</t>
  </si>
  <si>
    <t>LA</t>
  </si>
  <si>
    <t>Lastre</t>
  </si>
  <si>
    <t>MB</t>
  </si>
  <si>
    <t>Manicotti Bader</t>
  </si>
  <si>
    <t>MN</t>
  </si>
  <si>
    <t>Manicotti</t>
  </si>
  <si>
    <t>NA</t>
  </si>
  <si>
    <t>Nastri</t>
  </si>
  <si>
    <t>RV</t>
  </si>
  <si>
    <t>Rivestimenti</t>
  </si>
  <si>
    <t>TC</t>
  </si>
  <si>
    <t>Tessuti calandrati</t>
  </si>
  <si>
    <t>TX</t>
  </si>
  <si>
    <t>Texgum</t>
  </si>
  <si>
    <t>TOTALE</t>
  </si>
  <si>
    <t>TOTALE - FT</t>
  </si>
  <si>
    <t>NASTRI TRASPORTATORI (t)</t>
  </si>
  <si>
    <t>ALTRI PRODOTTI (t)</t>
  </si>
  <si>
    <t>TOTALE (t)</t>
  </si>
  <si>
    <t>Anno</t>
  </si>
  <si>
    <t>Variazione %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</si>
  <si>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</si>
  <si>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</si>
  <si>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</si>
  <si>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</si>
  <si>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</si>
  <si>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</si>
  <si>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</si>
  <si>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</si>
  <si>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</si>
  <si>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</si>
  <si>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</si>
  <si>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</si>
  <si>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</si>
  <si>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</si>
  <si>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</si>
  <si>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</si>
  <si>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</si>
  <si>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</si>
  <si>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</si>
  <si>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</si>
  <si>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-</t>
  </si>
  <si>
    <t>Sigla</t>
  </si>
  <si>
    <t>Sottoprodotti riutilizzati</t>
  </si>
  <si>
    <t>Indice sottoprodotti riutilizzati</t>
  </si>
  <si>
    <t xml:space="preserve">Prodotto finito </t>
  </si>
  <si>
    <t>[t]</t>
  </si>
  <si>
    <t>[kg / PF t]</t>
  </si>
  <si>
    <t>Nel 2023 ridefinito anche consumo anno 2022</t>
  </si>
  <si>
    <t>Definito di utilizzare estrazione consumi RE da LN</t>
  </si>
  <si>
    <t>U.M.</t>
  </si>
  <si>
    <t>Contatori ufficiali</t>
  </si>
  <si>
    <t>Codifica interna</t>
  </si>
  <si>
    <t>STABILIMENTO VIA S.AGATA</t>
  </si>
  <si>
    <t>A00</t>
  </si>
  <si>
    <t>A19</t>
  </si>
  <si>
    <t>A20</t>
  </si>
  <si>
    <t>A21</t>
  </si>
  <si>
    <t>A22</t>
  </si>
  <si>
    <t>Acqua da pozzo (m3)</t>
  </si>
  <si>
    <t>A01</t>
  </si>
  <si>
    <t>ST. VIA MONGILARDI</t>
  </si>
  <si>
    <t>A000</t>
  </si>
  <si>
    <t>INDICATORE</t>
  </si>
  <si>
    <t>Prodotti finiti [t]</t>
  </si>
  <si>
    <t>Totale consumi acqua /PF</t>
  </si>
  <si>
    <t>.</t>
  </si>
  <si>
    <t>CONSUMI  ACQUA</t>
  </si>
  <si>
    <t>Totale acquedotto (m3)</t>
  </si>
  <si>
    <t>Totale acquedotto + pozzo  (m3)</t>
  </si>
  <si>
    <t>TOTALE CONSUMI ACQUA (m3)</t>
  </si>
  <si>
    <t>Tab 4B - Sottoprodotti</t>
  </si>
  <si>
    <t>Tab. 6</t>
  </si>
  <si>
    <t>Risorsa idriche</t>
  </si>
  <si>
    <t xml:space="preserve">Fase di utilizzo </t>
  </si>
  <si>
    <t>Punto di misura</t>
  </si>
  <si>
    <t>Pozzo</t>
  </si>
  <si>
    <t>GO-NA-CG-ES-CT-Servizi</t>
  </si>
  <si>
    <t>Industriale</t>
  </si>
  <si>
    <t>Contatore Pozzo 1</t>
  </si>
  <si>
    <t>Acquedotto</t>
  </si>
  <si>
    <t>Servizi + Mensa</t>
  </si>
  <si>
    <t>Igienico-sanitario e industriale</t>
  </si>
  <si>
    <t>Contatori fornitura acquedotto</t>
  </si>
  <si>
    <t>Tipologia di approvvigionamento (Pozzo, acquedotto, ecc)</t>
  </si>
  <si>
    <t>Tipologia (industriale, civile, raffreddamento, ecc.)</t>
  </si>
  <si>
    <t>Produzione</t>
  </si>
  <si>
    <t>ton</t>
  </si>
  <si>
    <t>--</t>
  </si>
  <si>
    <t>Via Sant'Agata</t>
  </si>
  <si>
    <t>Unità di misura</t>
  </si>
  <si>
    <t>Via Mongilardi</t>
  </si>
  <si>
    <t>Indicatore</t>
  </si>
  <si>
    <t>Tab.7</t>
  </si>
  <si>
    <t>Energia</t>
  </si>
  <si>
    <t>Consumo</t>
  </si>
  <si>
    <t>Energia elettrica importata da rete esterna</t>
  </si>
  <si>
    <t>Energia elettrica autoprodotta consumata</t>
  </si>
  <si>
    <t>Energia termica</t>
  </si>
  <si>
    <t>Produzione*</t>
  </si>
  <si>
    <t>Energia elettrica immessa in rete da centrale di cogenerazione en.elettrica</t>
  </si>
  <si>
    <t xml:space="preserve">Energia elettrica immessa in rete </t>
  </si>
  <si>
    <t>MWh</t>
  </si>
  <si>
    <t>Non applicabile</t>
  </si>
  <si>
    <t>Tab. 8</t>
  </si>
  <si>
    <t>Combustibili</t>
  </si>
  <si>
    <t>Metano</t>
  </si>
  <si>
    <t>mc</t>
  </si>
  <si>
    <t>Risorsa energetica</t>
  </si>
  <si>
    <t>20202</t>
  </si>
  <si>
    <t>Combustibile</t>
  </si>
  <si>
    <t>Tab. 9</t>
  </si>
  <si>
    <t>Emissioni in aria convogliate</t>
  </si>
  <si>
    <t>7-1</t>
  </si>
  <si>
    <t>7-2</t>
  </si>
  <si>
    <t>128-polveri</t>
  </si>
  <si>
    <t>128-WBS</t>
  </si>
  <si>
    <t>Reparto gomma – preparazione semilavorati – aspirazione calandra e miscelatori</t>
  </si>
  <si>
    <t>Reparto gomma – vulcanizzazione in continuo – aspirazione vulcanizzatrice in continuo 1</t>
  </si>
  <si>
    <t>Reparto gomma – vulcanizzazione in continuo – aspirazione vulcanizzatrice in continuo 2</t>
  </si>
  <si>
    <t>Reparto gomma – preparazione mescole – aspirazione mescolatore a cilindri</t>
  </si>
  <si>
    <t>Reparto nastri – spalmatura – aspirazione localizzata entrata I forno linea SP02</t>
  </si>
  <si>
    <t>Reparto nastri – vulcanizzazione in continuo – aspirazioni vulcanizzazione in continuo</t>
  </si>
  <si>
    <t>Reparto cinghie – spalmatura – esaustione forno</t>
  </si>
  <si>
    <t>Reparto gomme – finizione – aspirazioni localizzate smerigliatrice</t>
  </si>
  <si>
    <t>Generatore di calore OMP1</t>
  </si>
  <si>
    <t>Generatore di calore OMP2</t>
  </si>
  <si>
    <t>Confezionamento nastri e cinghie</t>
  </si>
  <si>
    <t>Reparto gomma – vulcanizzazione in continuo – aspirazione vulcanizzatrice in continuo</t>
  </si>
  <si>
    <t>Reparto nastri – calandratura e goffratura – aspirazioni calandre e goffratrice</t>
  </si>
  <si>
    <t>Reparto nastri – spalmatura – aspirazione linee spalmatura PVC</t>
  </si>
  <si>
    <t>Reparto gomma – preparazione mescole – aspirazione localizzata mescolatore chiuso</t>
  </si>
  <si>
    <t>Reparto gomma – pesatura – aspirazioni localizzate pesatura e granulatrice</t>
  </si>
  <si>
    <t>Reparto nastri – spalmatura – aspirazione spalmatura polveri PU</t>
  </si>
  <si>
    <t>Reparto nastri – spalmatura – aspirazione spalmatura resine WBS</t>
  </si>
  <si>
    <t xml:space="preserve">Dati estratti da </t>
  </si>
  <si>
    <t>MA76.1 - Registrazioni Collaudi Emissioni</t>
  </si>
  <si>
    <t>Camini</t>
  </si>
  <si>
    <t>Provenienza</t>
  </si>
  <si>
    <t>Autocontr.</t>
  </si>
  <si>
    <t>data campionamento</t>
  </si>
  <si>
    <t>n° rapporto</t>
  </si>
  <si>
    <t>Ente</t>
  </si>
  <si>
    <t>Portata misurata (Nm3/h)</t>
  </si>
  <si>
    <t>Portata autorizzata (Nm3/h)</t>
  </si>
  <si>
    <t>Temp. (°C)</t>
  </si>
  <si>
    <t>Temp. Dichiarata (°C)</t>
  </si>
  <si>
    <t>Inquinanti</t>
  </si>
  <si>
    <t>Conc. media (mg/Nm3)</t>
  </si>
  <si>
    <t>Conc.Autorizzata (mg/Nm3)</t>
  </si>
  <si>
    <t>S</t>
  </si>
  <si>
    <t>flusso massa (Kg/h)</t>
  </si>
  <si>
    <t>flusso massa autorizzato (Kg/h)</t>
  </si>
  <si>
    <t>Sì</t>
  </si>
  <si>
    <t>Crab</t>
  </si>
  <si>
    <t>polveri</t>
  </si>
  <si>
    <t>a</t>
  </si>
  <si>
    <t>98 (ex28)</t>
  </si>
  <si>
    <t>SOT</t>
  </si>
  <si>
    <t>formaldeide</t>
  </si>
  <si>
    <t>HCl</t>
  </si>
  <si>
    <t>NH3</t>
  </si>
  <si>
    <t>&lt; 0,2</t>
  </si>
  <si>
    <t>&lt; 0,1</t>
  </si>
  <si>
    <t>&lt; 0,0024</t>
  </si>
  <si>
    <t>220424-001</t>
  </si>
  <si>
    <t>&lt; 0,0013</t>
  </si>
  <si>
    <t>Polveri</t>
  </si>
  <si>
    <t>220497-002</t>
  </si>
  <si>
    <t>220497-003</t>
  </si>
  <si>
    <t>&lt; 0,0023</t>
  </si>
  <si>
    <t>220497-005</t>
  </si>
  <si>
    <t>220497-006</t>
  </si>
  <si>
    <t>220497-001</t>
  </si>
  <si>
    <t>&lt; 0,0005</t>
  </si>
  <si>
    <t>Formaldeide</t>
  </si>
  <si>
    <t>220497-004</t>
  </si>
  <si>
    <t>&lt; 0,0010</t>
  </si>
  <si>
    <t>220497-007</t>
  </si>
  <si>
    <t>&lt; 0,0025</t>
  </si>
  <si>
    <t>220895-001</t>
  </si>
  <si>
    <t>NOx</t>
  </si>
  <si>
    <t>220895-002</t>
  </si>
  <si>
    <t>230206-002</t>
  </si>
  <si>
    <t>&lt; 0,0045</t>
  </si>
  <si>
    <t>&lt; 0,0022</t>
  </si>
  <si>
    <t>230206-001</t>
  </si>
  <si>
    <t>230206-003</t>
  </si>
  <si>
    <t>230819-001</t>
  </si>
  <si>
    <t>230819-002</t>
  </si>
  <si>
    <t>amb</t>
  </si>
  <si>
    <t>230819-003</t>
  </si>
  <si>
    <t>&lt; 1,0</t>
  </si>
  <si>
    <t>&lt; 0,0190</t>
  </si>
  <si>
    <t>240047-001</t>
  </si>
  <si>
    <t>240047-002</t>
  </si>
  <si>
    <t>240155-005</t>
  </si>
  <si>
    <t>240155-001</t>
  </si>
  <si>
    <t>240197-001</t>
  </si>
  <si>
    <t>240197-002</t>
  </si>
  <si>
    <t>240197-003</t>
  </si>
  <si>
    <t>240432-001</t>
  </si>
  <si>
    <t>&lt; 1,1</t>
  </si>
  <si>
    <t>&lt; 0,0017</t>
  </si>
  <si>
    <t>240432-003</t>
  </si>
  <si>
    <t>CO</t>
  </si>
  <si>
    <t>240432-002</t>
  </si>
  <si>
    <t>240530-001</t>
  </si>
  <si>
    <t>240927-001</t>
  </si>
  <si>
    <t>240927-002</t>
  </si>
  <si>
    <t>241160-001</t>
  </si>
  <si>
    <t>241229-001</t>
  </si>
  <si>
    <t>Nome AIA</t>
  </si>
  <si>
    <t>OK</t>
  </si>
  <si>
    <t>Reparto gomma – vulcanizzazione in continuo – aspirazione vulcanizzatrici in continuo</t>
  </si>
  <si>
    <t xml:space="preserve">Indice di Emissione
</t>
  </si>
  <si>
    <t>Risultato campionamento</t>
  </si>
  <si>
    <t>Postcombustore</t>
  </si>
  <si>
    <t>Tab. 13</t>
  </si>
  <si>
    <t xml:space="preserve">Uscita depuratore </t>
  </si>
  <si>
    <t>Data</t>
  </si>
  <si>
    <t>N° rapporto</t>
  </si>
  <si>
    <t>Note</t>
  </si>
  <si>
    <t>COD
[mg/l]</t>
  </si>
  <si>
    <t>Solidi sospesi
[mg/l]</t>
  </si>
  <si>
    <t>Azoto ammoniacale
[mg/l]</t>
  </si>
  <si>
    <t>Azoto Totale 
[mg/l]</t>
  </si>
  <si>
    <t>RP-ENV- 24/61417</t>
  </si>
  <si>
    <t>Merieux</t>
  </si>
  <si>
    <t>x CORDAR notificato 5/6/24</t>
  </si>
  <si>
    <t>pH</t>
  </si>
  <si>
    <t>1154433/22</t>
  </si>
  <si>
    <t>CHELAB</t>
  </si>
  <si>
    <t>x CORDAR notificato 15/04/22</t>
  </si>
  <si>
    <t>1163332/22</t>
  </si>
  <si>
    <t>x CORDAR notificato 9/8/22</t>
  </si>
  <si>
    <t>1169917/22</t>
  </si>
  <si>
    <t>x CORDAR notificato 28/11/22</t>
  </si>
  <si>
    <t>23/000026843</t>
  </si>
  <si>
    <t>x CORDAR notificato 27/03/23</t>
  </si>
  <si>
    <t>23/72961</t>
  </si>
  <si>
    <t>x CORDAR</t>
  </si>
  <si>
    <t>MA76.2 - Registrazioni Collaudi Scarichi idrici</t>
  </si>
  <si>
    <t>Descrizione rifiuto</t>
  </si>
  <si>
    <t>CER</t>
  </si>
  <si>
    <t>Rifiuti da materiali compositi</t>
  </si>
  <si>
    <t>040209</t>
  </si>
  <si>
    <t>Rifiuti plastici</t>
  </si>
  <si>
    <t>070213</t>
  </si>
  <si>
    <t>Rifiuti non specificati altrimenti</t>
  </si>
  <si>
    <t>070299</t>
  </si>
  <si>
    <t>Toner per stampa esauriti, diversi da quelli di cui alla voce 080317</t>
  </si>
  <si>
    <t>080318</t>
  </si>
  <si>
    <t>Limatura e trucioli di materiali plastici</t>
  </si>
  <si>
    <t>Imballaggi in carta e cartone</t>
  </si>
  <si>
    <t>Imballaggi in plastica</t>
  </si>
  <si>
    <t>Imballaggi in legno</t>
  </si>
  <si>
    <t>Imballaggi metallici</t>
  </si>
  <si>
    <t>Imballi in materiali misti</t>
  </si>
  <si>
    <t>Assorbenti, materiali filtranti diversi da quelli di cui alla voce 150202</t>
  </si>
  <si>
    <t>Apparecchiature fuori uso, diverse da quelle di cui alle voci da 160209 a 160213</t>
  </si>
  <si>
    <t>Componenti rimossi da apparecchiature fuori uso, diversi da quelli di cui alla voce 16 02 15</t>
  </si>
  <si>
    <t>Batterie alcaline (tranne 16 06 03)</t>
  </si>
  <si>
    <t>Soluzioni acquose di scarto</t>
  </si>
  <si>
    <t>161002</t>
  </si>
  <si>
    <t>Rivestimenti e materiali refrattari provenienti da lavorazioni non metallurgiche, diversi da quelli di cui alla voce 16 11 05</t>
  </si>
  <si>
    <t>Plastica</t>
  </si>
  <si>
    <t>Ferro e acciaio</t>
  </si>
  <si>
    <t>Cavi, diversi da quelli di cui alla voce 17 04 10</t>
  </si>
  <si>
    <t>Materiali isolanti diversi da quelli di cui alle voci 170601 e 170603</t>
  </si>
  <si>
    <t>Materiali da costruzione contenenti amianto</t>
  </si>
  <si>
    <t>Rifiuti dell'attività di costruzione e demolizione, diversi da quelli di cui alle voci 170901, 170902 e 170903</t>
  </si>
  <si>
    <t>Oli e grassi commestibili</t>
  </si>
  <si>
    <t>Fanghi fosse settiche</t>
  </si>
  <si>
    <t>Altri solventi organici, soluzioni di lavaggio ed acque madri</t>
  </si>
  <si>
    <t>070204*</t>
  </si>
  <si>
    <t>Altri residui di filtrazione e assorbenti esauriti</t>
  </si>
  <si>
    <t>070208*</t>
  </si>
  <si>
    <t>Altri solventi organici , soluzioni di lavaggio ed acque madri</t>
  </si>
  <si>
    <t>070304*</t>
  </si>
  <si>
    <t>Pitture e vernici di scarto, contenenti solventi organici o altre sostanze pericolose</t>
  </si>
  <si>
    <t>080111*</t>
  </si>
  <si>
    <t>Adesivi e sigillanti di scarto, contenenti solventi organici o altre sostanze pericolose</t>
  </si>
  <si>
    <t>080409*</t>
  </si>
  <si>
    <t>Rifiuti liquidi acquosi contenenti adesivi e sigillanti, contenenti solventi organici o altre sostanze pericolose</t>
  </si>
  <si>
    <t>080415*</t>
  </si>
  <si>
    <t>Oli minerali per macchinari, non contenenti alogeni (eccetto emulsioni e soluzioni)</t>
  </si>
  <si>
    <t>120107*</t>
  </si>
  <si>
    <t>Soluzioni acquose di lavaggio</t>
  </si>
  <si>
    <t>120301*</t>
  </si>
  <si>
    <t>Emulsioni non clorurate</t>
  </si>
  <si>
    <t>130105*</t>
  </si>
  <si>
    <t>130899*</t>
  </si>
  <si>
    <t>Altri solventi e miscele di solventi alogenati</t>
  </si>
  <si>
    <t>140602*</t>
  </si>
  <si>
    <t>Altri solventi e miscele di solventi</t>
  </si>
  <si>
    <t>140603*</t>
  </si>
  <si>
    <t>Imballaggi contenenti residui di sostanze pericolose o contaminati da tali sostanze</t>
  </si>
  <si>
    <t>150110*</t>
  </si>
  <si>
    <t>Imballaggi metallici contenenti matrici solide porose pericolose (ad esempio amianto), compresi contenitori a pressione vuoti</t>
  </si>
  <si>
    <t>150111*</t>
  </si>
  <si>
    <t>Assorbenti, materiali filtranti, stracci e indumenti protettivi, contaminati da sostanze pericolose</t>
  </si>
  <si>
    <t>150202*</t>
  </si>
  <si>
    <t>Veicoli fuori uso</t>
  </si>
  <si>
    <t>160104*</t>
  </si>
  <si>
    <t>Apparecchiature fuori uso, contenenti clorofluorocarburi, HCFC, HFC</t>
  </si>
  <si>
    <t>160211*</t>
  </si>
  <si>
    <t>Apparecchiature fuori uso, contenenti componenti pericolosi diversi da quelli di cui alle voci 16.02.09 e 16.02.12</t>
  </si>
  <si>
    <t>160213*</t>
  </si>
  <si>
    <t>Rifiuti inorganici contenenti sostanze pericolose</t>
  </si>
  <si>
    <t>160303*</t>
  </si>
  <si>
    <t>Rifiuti organici, contenenti sostanze pericolose</t>
  </si>
  <si>
    <t>160305*</t>
  </si>
  <si>
    <t>Gas in contenitori a pressione (compresi gli halon), contenenti sostanze pericolose</t>
  </si>
  <si>
    <t>160504*</t>
  </si>
  <si>
    <t>Batterie al piombo</t>
  </si>
  <si>
    <t>160601*</t>
  </si>
  <si>
    <t>Altri materiali isolanti contenenti o costituiti da sostanze pericolose</t>
  </si>
  <si>
    <t>170603*</t>
  </si>
  <si>
    <t>Rifiuti che devono essere raccolti e smaltiti applicando precauzioni particolari per evitare infezioni</t>
  </si>
  <si>
    <t>180103*</t>
  </si>
  <si>
    <t>Tubi fluorescenti ed altri rifiuti contenenti mercurio</t>
  </si>
  <si>
    <t>200121*</t>
  </si>
  <si>
    <t>120105</t>
  </si>
  <si>
    <t>150101</t>
  </si>
  <si>
    <t>150102</t>
  </si>
  <si>
    <t>150103</t>
  </si>
  <si>
    <t>150104</t>
  </si>
  <si>
    <t>150106</t>
  </si>
  <si>
    <t>150203</t>
  </si>
  <si>
    <t>160214</t>
  </si>
  <si>
    <t>160216</t>
  </si>
  <si>
    <t>160604</t>
  </si>
  <si>
    <t>161106</t>
  </si>
  <si>
    <t>170203</t>
  </si>
  <si>
    <t>170405</t>
  </si>
  <si>
    <t>170411</t>
  </si>
  <si>
    <t>170604</t>
  </si>
  <si>
    <t>170605</t>
  </si>
  <si>
    <t>170904</t>
  </si>
  <si>
    <t>200125</t>
  </si>
  <si>
    <t>200304</t>
  </si>
  <si>
    <t>P/NP</t>
  </si>
  <si>
    <t>P</t>
  </si>
  <si>
    <t>NP</t>
  </si>
  <si>
    <t>Sede</t>
  </si>
  <si>
    <t>Rifiuti derivanti della silvicoltura</t>
  </si>
  <si>
    <t>020107</t>
  </si>
  <si>
    <t>Imballaggi in materiali compositi</t>
  </si>
  <si>
    <t>Rifiuti dell'attività di costruzione e demolizione, diversi da quelli di cui alle voci 170901, 170902 e 170903 (pulizia terreni)</t>
  </si>
  <si>
    <t>Totale rifiuti Pericolosi</t>
  </si>
  <si>
    <t>Totale rifiuti NON Pericolosi</t>
  </si>
  <si>
    <t>Tutti</t>
  </si>
  <si>
    <t>BS-P</t>
  </si>
  <si>
    <t>BS-NP</t>
  </si>
  <si>
    <t>BN-P</t>
  </si>
  <si>
    <t>BN-NP</t>
  </si>
  <si>
    <t>Totale Via Sant'Agata</t>
  </si>
  <si>
    <t>Totale Via Mongilardi</t>
  </si>
  <si>
    <t>TOTALE RIFIUTI</t>
  </si>
  <si>
    <t>Via Sant'agata - Pericolosi</t>
  </si>
  <si>
    <t>Via Sant'agata - NON Pericolosi</t>
  </si>
  <si>
    <t>Via Mongilardi - Pericolosi</t>
  </si>
  <si>
    <t>Via Mongilardi - NON Pericolosi</t>
  </si>
  <si>
    <t>BN-Totale</t>
  </si>
  <si>
    <t>BS-Totale</t>
  </si>
  <si>
    <t>CER 070204* - Acqua e DMF</t>
  </si>
  <si>
    <t>Rifiuti pericolosi eccetto 070204*</t>
  </si>
  <si>
    <t>Tab. 15</t>
  </si>
  <si>
    <t>Rifiuti in uscita</t>
  </si>
  <si>
    <t>Tab. 21</t>
  </si>
  <si>
    <t>Indicatori di performance</t>
  </si>
  <si>
    <t>Consumo d’acqua per unità di prodotto</t>
  </si>
  <si>
    <t>Consumo d’energia elettrica per unità di prodotto</t>
  </si>
  <si>
    <t>MWh/t</t>
  </si>
  <si>
    <t>Consumo d’energia termica per unità di prodotto</t>
  </si>
  <si>
    <t>Consumo d’energia complessiva per unità di prodotto</t>
  </si>
  <si>
    <t>m3/t</t>
  </si>
  <si>
    <t xml:space="preserve">Produzione di rifiuti per unità di prodotto </t>
  </si>
  <si>
    <t xml:space="preserve">t/t </t>
  </si>
  <si>
    <t>Produzione di rifiuto EER 07 02 04* per unità di prodotto</t>
  </si>
  <si>
    <t>Tab. 22</t>
  </si>
  <si>
    <t>Indicatori di circolarità</t>
  </si>
  <si>
    <t xml:space="preserve">Materie prime sostituite con sottoprodotti </t>
  </si>
  <si>
    <t> t</t>
  </si>
  <si>
    <t>Rifiuti prodotti inviati a recupero</t>
  </si>
  <si>
    <t>% kg annui rifiuti inviati a recupero/ kg annui rifiuti spediti</t>
  </si>
  <si>
    <t> % su anno precedente</t>
  </si>
  <si>
    <t>Riduzione del consumo energetico</t>
  </si>
  <si>
    <t>Energia elettrica autoprodotta da fonti rinnovabili rispetto al totale dell’energia elettrica consumata</t>
  </si>
  <si>
    <t>% E.E. da fonti rinnovabili / totale E.E. consumata</t>
  </si>
  <si>
    <t xml:space="preserve">1.000 Stm3/t </t>
  </si>
  <si>
    <t>Indicatori</t>
  </si>
  <si>
    <t>t/t</t>
  </si>
  <si>
    <t>CER 070204* - Acqua e DMF per unità di prodotto</t>
  </si>
  <si>
    <t>Rifiuti pericolosi eccetto 070204* per unità di prodotto</t>
  </si>
  <si>
    <t>Riduzione del consumo idrico - consumo specifico</t>
  </si>
  <si>
    <t>160306</t>
  </si>
  <si>
    <t>rifiuti organici diversi da quelli di cui alla voce 16 03 05</t>
  </si>
  <si>
    <t>rifiuti metallici contaminati da sostanze pericolose</t>
  </si>
  <si>
    <t>170409*</t>
  </si>
  <si>
    <t>Il presente PMC ricomprende la raccolta di informazioni necessaria per:</t>
  </si>
  <si>
    <t>- EMAS</t>
  </si>
  <si>
    <t>- sistema di gestione ISO 14001 e in parte ISO 50001</t>
  </si>
  <si>
    <t>- AIA dello stabilimento di Sant'Agata</t>
  </si>
  <si>
    <t>Le informazioni richieste dal piano di monitoraggio e controllo dell'AIA dello stabilimento di Via Sant'Agata sono individuate nelle specifiche schede identificate da una numerazione</t>
  </si>
  <si>
    <t>Tale numerazione fa specifico riferimento al relativo capitolo del PMC AIA e negli specifici fogli sono riportati gli identificativi (numerazione e nome) delle specifiche tabelle individuate dal PMC AIA</t>
  </si>
  <si>
    <t>EMAS - Indicatore MP/PF</t>
  </si>
  <si>
    <t>Materie prime / prodotti finiti</t>
  </si>
  <si>
    <t>Materie prime/prodotti finiti senza solventi</t>
  </si>
  <si>
    <t>Quantitativo solventi (da "calcolo MP")</t>
  </si>
  <si>
    <t>Totale rifiuti eccetto 070204*</t>
  </si>
  <si>
    <t>Rifiuti prodotti (t) / Prodotto finito (t)</t>
  </si>
  <si>
    <t>da acquedotto Via Mongilardi (m3)</t>
  </si>
  <si>
    <t>Acqua da acquedotto 
(m3)</t>
  </si>
  <si>
    <t>2025</t>
  </si>
  <si>
    <t>250174-001</t>
  </si>
  <si>
    <t>250174-002</t>
  </si>
  <si>
    <t>250571-001</t>
  </si>
  <si>
    <t>250571-002</t>
  </si>
  <si>
    <t>250500-001</t>
  </si>
  <si>
    <t>251368-002</t>
  </si>
  <si>
    <t>251368-001</t>
  </si>
  <si>
    <t>&lt; 0,0157</t>
  </si>
  <si>
    <t>RP-ENV-25/000008277</t>
  </si>
  <si>
    <t>x CORDAR notificato 21/02/2025</t>
  </si>
  <si>
    <t>6,92</t>
  </si>
  <si>
    <t>080410</t>
  </si>
  <si>
    <t>adesivi e sigillanti di scarto, diversi da quelli di cui alla voce 08 04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</si>
</sst>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dd/mm/yy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name val="Aptos Narrow"/>
      <family val="2"/>
      <scheme val="minor"/>
    </font>
    <font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D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/>
      <top style="double">
        <color theme="7"/>
      </top>
      <bottom style="thin">
        <color theme="7"/>
      </bottom>
      <diagonal/>
    </border>
    <border>
      <left/>
      <right/>
      <top style="thin">
        <color theme="7"/>
      </top>
      <bottom style="double">
        <color theme="7"/>
      </bottom>
      <diagonal/>
    </border>
    <border>
      <left/>
      <right/>
      <top style="double">
        <color theme="7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double">
        <color theme="4" tint="0.39994506668294322"/>
      </bottom>
      <diagonal/>
    </border>
    <border>
      <left/>
      <right/>
      <top style="double">
        <color theme="4" tint="0.39994506668294322"/>
      </top>
      <bottom style="thin">
        <color theme="4" tint="0.39994506668294322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0" fillId="0" borderId="0" xfId="0" quotePrefix="1"/>
    <xf numFmtId="3" fontId="0" fillId="0" borderId="0" xfId="0" applyNumberFormat="1" applyAlignment="1">
      <alignment horizontal="center"/>
    </xf>
    <xf numFmtId="0" fontId="4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/>
    <xf numFmtId="0" fontId="3" fillId="6" borderId="7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4" fontId="4" fillId="0" borderId="1" xfId="1" applyNumberFormat="1" applyBorder="1" applyAlignment="1">
      <alignment vertical="center"/>
    </xf>
    <xf numFmtId="4" fontId="4" fillId="6" borderId="1" xfId="1" applyNumberFormat="1" applyFill="1" applyBorder="1" applyAlignment="1">
      <alignment vertical="center"/>
    </xf>
    <xf numFmtId="3" fontId="5" fillId="6" borderId="1" xfId="1" applyNumberFormat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3" fillId="6" borderId="10" xfId="1" applyFont="1" applyFill="1" applyBorder="1" applyAlignment="1">
      <alignment horizontal="center" vertical="center"/>
    </xf>
    <xf numFmtId="4" fontId="4" fillId="0" borderId="2" xfId="1" applyNumberFormat="1" applyBorder="1" applyAlignment="1">
      <alignment vertical="center"/>
    </xf>
    <xf numFmtId="0" fontId="3" fillId="6" borderId="3" xfId="1" applyFont="1" applyFill="1" applyBorder="1" applyAlignment="1">
      <alignment vertical="center"/>
    </xf>
    <xf numFmtId="0" fontId="5" fillId="0" borderId="3" xfId="1" applyFont="1" applyBorder="1" applyAlignment="1">
      <alignment horizontal="left" vertical="center"/>
    </xf>
    <xf numFmtId="4" fontId="4" fillId="0" borderId="3" xfId="1" applyNumberFormat="1" applyBorder="1" applyAlignment="1">
      <alignment vertical="center"/>
    </xf>
    <xf numFmtId="4" fontId="4" fillId="0" borderId="11" xfId="1" applyNumberFormat="1" applyBorder="1" applyAlignment="1">
      <alignment vertical="center"/>
    </xf>
    <xf numFmtId="4" fontId="4" fillId="0" borderId="7" xfId="1" applyNumberFormat="1" applyBorder="1" applyAlignment="1">
      <alignment vertical="center"/>
    </xf>
    <xf numFmtId="0" fontId="3" fillId="6" borderId="6" xfId="1" applyFont="1" applyFill="1" applyBorder="1" applyAlignment="1">
      <alignment horizontal="center" vertical="center"/>
    </xf>
    <xf numFmtId="0" fontId="4" fillId="3" borderId="0" xfId="1" applyFill="1"/>
    <xf numFmtId="1" fontId="4" fillId="0" borderId="0" xfId="1" applyNumberFormat="1"/>
    <xf numFmtId="165" fontId="4" fillId="0" borderId="0" xfId="1" applyNumberFormat="1"/>
    <xf numFmtId="4" fontId="4" fillId="0" borderId="0" xfId="1" applyNumberFormat="1"/>
    <xf numFmtId="9" fontId="4" fillId="0" borderId="0" xfId="1" applyNumberFormat="1"/>
    <xf numFmtId="0" fontId="9" fillId="0" borderId="0" xfId="1" applyFont="1"/>
    <xf numFmtId="3" fontId="4" fillId="0" borderId="0" xfId="1" applyNumberFormat="1"/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quotePrefix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1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10" borderId="3" xfId="0" applyFont="1" applyFill="1" applyBorder="1" applyAlignment="1">
      <alignment horizontal="right" vertical="center"/>
    </xf>
    <xf numFmtId="0" fontId="5" fillId="8" borderId="6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4" fillId="10" borderId="2" xfId="0" applyNumberFormat="1" applyFont="1" applyFill="1" applyBorder="1" applyAlignment="1">
      <alignment horizontal="center" vertical="center"/>
    </xf>
    <xf numFmtId="3" fontId="4" fillId="8" borderId="10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5" fillId="0" borderId="0" xfId="1" applyFon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12" fillId="0" borderId="0" xfId="5"/>
    <xf numFmtId="0" fontId="7" fillId="0" borderId="0" xfId="0" applyFont="1" applyAlignment="1">
      <alignment horizontal="center" vertical="center"/>
    </xf>
    <xf numFmtId="9" fontId="7" fillId="0" borderId="0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64" fontId="7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4" xfId="0" applyFont="1" applyBorder="1"/>
    <xf numFmtId="0" fontId="0" fillId="0" borderId="14" xfId="0" applyBorder="1"/>
    <xf numFmtId="0" fontId="1" fillId="0" borderId="14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0" fontId="0" fillId="0" borderId="15" xfId="0" applyBorder="1"/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1" fillId="0" borderId="17" xfId="0" applyFont="1" applyBorder="1"/>
    <xf numFmtId="0" fontId="0" fillId="0" borderId="17" xfId="0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16" xfId="0" applyNumberForma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/>
    <xf numFmtId="0" fontId="0" fillId="0" borderId="16" xfId="0" applyBorder="1"/>
    <xf numFmtId="0" fontId="1" fillId="0" borderId="16" xfId="0" applyFont="1" applyBorder="1" applyAlignment="1">
      <alignment horizontal="center"/>
    </xf>
    <xf numFmtId="3" fontId="1" fillId="0" borderId="16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9" fontId="0" fillId="0" borderId="0" xfId="4" applyFont="1" applyAlignment="1">
      <alignment horizontal="center" vertical="center"/>
    </xf>
    <xf numFmtId="9" fontId="4" fillId="6" borderId="2" xfId="4" applyFont="1" applyFill="1" applyBorder="1" applyAlignment="1">
      <alignment horizontal="center" vertical="center"/>
    </xf>
    <xf numFmtId="9" fontId="0" fillId="6" borderId="1" xfId="4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quotePrefix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4" fontId="1" fillId="0" borderId="14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3" fillId="6" borderId="8" xfId="1" applyFont="1" applyFill="1" applyBorder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5" fillId="6" borderId="1" xfId="1" applyFont="1" applyFill="1" applyBorder="1" applyAlignment="1">
      <alignment horizontal="left" vertical="center"/>
    </xf>
    <xf numFmtId="0" fontId="3" fillId="6" borderId="2" xfId="1" applyFont="1" applyFill="1" applyBorder="1" applyAlignment="1">
      <alignment horizontal="left" vertical="center"/>
    </xf>
    <xf numFmtId="0" fontId="3" fillId="6" borderId="5" xfId="1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4" fillId="6" borderId="0" xfId="1" applyNumberFormat="1" applyFill="1" applyBorder="1" applyAlignment="1">
      <alignment vertical="center"/>
    </xf>
    <xf numFmtId="4" fontId="4" fillId="0" borderId="1" xfId="1" applyNumberFormat="1" applyFill="1" applyBorder="1" applyAlignment="1">
      <alignment vertical="center"/>
    </xf>
    <xf numFmtId="4" fontId="4" fillId="0" borderId="7" xfId="1" applyNumberFormat="1" applyFill="1" applyBorder="1" applyAlignment="1">
      <alignment vertical="center"/>
    </xf>
    <xf numFmtId="4" fontId="4" fillId="0" borderId="3" xfId="1" applyNumberFormat="1" applyFill="1" applyBorder="1" applyAlignment="1">
      <alignment vertical="center"/>
    </xf>
    <xf numFmtId="0" fontId="9" fillId="0" borderId="0" xfId="1" applyFont="1" applyFill="1"/>
    <xf numFmtId="0" fontId="0" fillId="0" borderId="6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9" fontId="7" fillId="0" borderId="0" xfId="4" applyFont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2" fontId="4" fillId="0" borderId="0" xfId="1" applyNumberFormat="1"/>
    <xf numFmtId="9" fontId="4" fillId="0" borderId="0" xfId="4" applyFont="1"/>
  </cellXfs>
  <cellStyles count="6">
    <cellStyle name="Collegamento ipertestuale" xfId="5" builtinId="8"/>
    <cellStyle name="Migliaia 2" xfId="3" xr:uid="{35D7BFE7-F1DD-454E-9A4A-159B8FB91DFA}"/>
    <cellStyle name="Normale" xfId="0" builtinId="0"/>
    <cellStyle name="Normale 2" xfId="1" xr:uid="{019FA1BB-F888-41F4-BED8-FF554023735A}"/>
    <cellStyle name="Percentuale" xfId="4" builtinId="5"/>
    <cellStyle name="Percentuale 2" xfId="2" xr:uid="{AEAFEDBE-A8FB-465B-92FA-EDF0FFF09B2B}"/>
  </cellStyles>
  <dxfs count="230">
    <dxf>
      <numFmt numFmtId="3" formatCode="#,##0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alignment horizontal="left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theme="7"/>
        </top>
        <bottom style="thin">
          <color theme="7"/>
        </bottom>
      </border>
    </dxf>
    <dxf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border>
        <top style="double">
          <color theme="7"/>
        </top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DAEFD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numFmt numFmtId="1" formatCode="0"/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6BCE9E"/>
      <color rgb="FFCED9CE"/>
      <color rgb="FF919191"/>
      <color rgb="FFC0C0C0"/>
      <color rgb="FF339966"/>
      <color rgb="FF1D58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1614583333333"/>
          <c:y val="6.1596119929453262E-2"/>
          <c:w val="0.48841909722222215"/>
          <c:h val="0.76815608465608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 MP'!$A$16</c:f>
              <c:strCache>
                <c:ptCount val="1"/>
                <c:pt idx="0">
                  <c:v>Materie prime</c:v>
                </c:pt>
              </c:strCache>
            </c:strRef>
          </c:tx>
          <c:spPr>
            <a:gradFill>
              <a:gsLst>
                <a:gs pos="50000">
                  <a:srgbClr val="C0C0C0"/>
                </a:gs>
                <a:gs pos="0">
                  <a:srgbClr val="919191"/>
                </a:gs>
                <a:gs pos="100000">
                  <a:srgbClr val="919191"/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'5.1 MP'!$C$24:$J$24</c15:sqref>
                  </c15:fullRef>
                </c:ext>
              </c:extLst>
              <c:f>'5.1 MP'!$G$24:$J$24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 MP'!$C$19:$J$19</c15:sqref>
                  </c15:fullRef>
                </c:ext>
              </c:extLst>
              <c:f>'5.1 MP'!$G$19:$J$19</c:f>
              <c:numCache>
                <c:formatCode>#,##0</c:formatCode>
                <c:ptCount val="4"/>
                <c:pt idx="0">
                  <c:v>5510.6149982999987</c:v>
                </c:pt>
                <c:pt idx="1">
                  <c:v>4968.966386619999</c:v>
                </c:pt>
                <c:pt idx="2">
                  <c:v>5362.839819480002</c:v>
                </c:pt>
                <c:pt idx="3">
                  <c:v>4237.1914770200001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7-46C6-AE41-EEFF4024FF9E}"/>
            </c:ext>
          </c:extLst>
        </c:ser>
        <c:ser>
          <c:idx val="1"/>
          <c:order val="1"/>
          <c:tx>
            <c:strRef>
              <c:f>'5.1 MP'!$A$24</c:f>
              <c:strCache>
                <c:ptCount val="1"/>
                <c:pt idx="0">
                  <c:v>Prodotto Finiti</c:v>
                </c:pt>
              </c:strCache>
            </c:strRef>
          </c:tx>
          <c:spPr>
            <a:gradFill>
              <a:gsLst>
                <a:gs pos="50000">
                  <a:srgbClr val="339966"/>
                </a:gs>
                <a:gs pos="0">
                  <a:srgbClr val="1D583B"/>
                </a:gs>
                <a:gs pos="100000">
                  <a:srgbClr val="1D583B"/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'5.1 MP'!$C$24:$J$24</c15:sqref>
                  </c15:fullRef>
                </c:ext>
              </c:extLst>
              <c:f>'5.1 MP'!$G$24:$J$24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 MP'!$C$27:$J$27</c15:sqref>
                  </c15:fullRef>
                </c:ext>
              </c:extLst>
              <c:f>'5.1 MP'!$G$27:$J$27</c:f>
              <c:numCache>
                <c:formatCode>#,##0</c:formatCode>
                <c:ptCount val="4"/>
                <c:pt idx="0">
                  <c:v>4257.4617448469926</c:v>
                </c:pt>
                <c:pt idx="1">
                  <c:v>3898.2900863530003</c:v>
                </c:pt>
                <c:pt idx="2">
                  <c:v>4100.1989415100006</c:v>
                </c:pt>
                <c:pt idx="3">
                  <c:v>3869.6090812220059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7-46C6-AE41-EEFF4024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7980095"/>
        <c:axId val="1587331119"/>
      </c:barChart>
      <c:lineChart>
        <c:grouping val="standard"/>
        <c:varyColors val="0"/>
        <c:ser>
          <c:idx val="2"/>
          <c:order val="2"/>
          <c:tx>
            <c:strRef>
              <c:f>'5.1 MP'!$A$32</c:f>
              <c:strCache>
                <c:ptCount val="1"/>
                <c:pt idx="0">
                  <c:v>Materie prime / prodotti finiti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'5.1 MP'!$C$31:$J$31</c15:sqref>
                  </c15:fullRef>
                </c:ext>
              </c:extLst>
              <c:f>'5.1 MP'!$G$31:$J$31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 MP'!$C$32:$J$32</c15:sqref>
                  </c15:fullRef>
                </c:ext>
              </c:extLst>
              <c:f>'5.1 MP'!$G$32:$J$32</c:f>
              <c:numCache>
                <c:formatCode>0.00</c:formatCode>
                <c:ptCount val="4"/>
                <c:pt idx="0">
                  <c:v>1.2943428100017003</c:v>
                </c:pt>
                <c:pt idx="1">
                  <c:v>1.2746528032932145</c:v>
                </c:pt>
                <c:pt idx="2">
                  <c:v>1.3079462474825678</c:v>
                </c:pt>
                <c:pt idx="3">
                  <c:v>1.0949921266160336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7-46C6-AE41-EEFF4024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993695"/>
        <c:axId val="1587315727"/>
      </c:lineChart>
      <c:catAx>
        <c:axId val="1317980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b="1"/>
                  <a:t>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87331119"/>
        <c:crosses val="autoZero"/>
        <c:auto val="1"/>
        <c:lblAlgn val="ctr"/>
        <c:lblOffset val="100"/>
        <c:noMultiLvlLbl val="0"/>
      </c:catAx>
      <c:valAx>
        <c:axId val="158733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b="1"/>
                  <a:t>Quantità materiale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317980095"/>
        <c:crosses val="autoZero"/>
        <c:crossBetween val="between"/>
      </c:valAx>
      <c:valAx>
        <c:axId val="1587315727"/>
        <c:scaling>
          <c:orientation val="minMax"/>
          <c:max val="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b="1"/>
                  <a:t>Materie prime (t) / Prodotto finito (t)</a:t>
                </a:r>
              </a:p>
            </c:rich>
          </c:tx>
          <c:layout>
            <c:manualLayout>
              <c:xMode val="edge"/>
              <c:yMode val="edge"/>
              <c:x val="0.6721685483918669"/>
              <c:y val="8.3481995594372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317993695"/>
        <c:crosses val="max"/>
        <c:crossBetween val="between"/>
      </c:valAx>
      <c:catAx>
        <c:axId val="1317993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7315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29287969194669"/>
          <c:y val="0"/>
          <c:w val="0.23647786553247041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'5.1 Sottoprodotti'!$A$4</c:f>
              <c:strCache>
                <c:ptCount val="1"/>
                <c:pt idx="0">
                  <c:v>Sottoprodotti riutilizzati</c:v>
                </c:pt>
              </c:strCache>
            </c:strRef>
          </c:tx>
          <c:spPr>
            <a:gradFill>
              <a:gsLst>
                <a:gs pos="50000">
                  <a:srgbClr val="339966"/>
                </a:gs>
                <a:gs pos="0">
                  <a:srgbClr val="1D583B"/>
                </a:gs>
                <a:gs pos="100000">
                  <a:srgbClr val="1D583B"/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'5.1 Sottoprodotti'!$C$3:$I$3</c15:sqref>
                  </c15:fullRef>
                </c:ext>
              </c:extLst>
              <c:f>'5.1 Sottoprodotti'!$F$3:$I$3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 Sottoprodotti'!$C$4:$I$4</c15:sqref>
                  </c15:fullRef>
                </c:ext>
              </c:extLst>
              <c:f>'5.1 Sottoprodotti'!$F$4:$I$4</c:f>
              <c:numCache>
                <c:formatCode>0.0</c:formatCode>
                <c:ptCount val="4"/>
                <c:pt idx="0" formatCode="0">
                  <c:v>60</c:v>
                </c:pt>
                <c:pt idx="1" formatCode="0">
                  <c:v>47.13</c:v>
                </c:pt>
                <c:pt idx="2" formatCode="General">
                  <c:v>35</c:v>
                </c:pt>
                <c:pt idx="3" formatCode="0">
                  <c:v>19.181000000000001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B-45A2-97D3-DADA83A1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603455"/>
        <c:axId val="1"/>
      </c:barChart>
      <c:lineChart>
        <c:grouping val="standard"/>
        <c:varyColors val="0"/>
        <c:ser>
          <c:idx val="1"/>
          <c:order val="1"/>
          <c:tx>
            <c:strRef>
              <c:f>'5.1 Sottoprodotti'!$A$5</c:f>
              <c:strCache>
                <c:ptCount val="1"/>
                <c:pt idx="0">
                  <c:v>Indice sottoprodotti riutilizzati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'5.1 Sottoprodotti'!$C$3:$I$3</c15:sqref>
                  </c15:fullRef>
                </c:ext>
              </c:extLst>
              <c:f>'5.1 Sottoprodotti'!$F$3:$I$3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 Sottoprodotti'!$C$5:$I$5</c15:sqref>
                  </c15:fullRef>
                </c:ext>
              </c:extLst>
              <c:f>'5.1 Sottoprodotti'!$F$5:$I$5</c:f>
              <c:numCache>
                <c:formatCode>#,##0.00</c:formatCode>
                <c:ptCount val="4"/>
                <c:pt idx="0">
                  <c:v>14.092904081315783</c:v>
                </c:pt>
                <c:pt idx="1">
                  <c:v>12.089916080127306</c:v>
                </c:pt>
                <c:pt idx="2">
                  <c:v>8.5361711710286858</c:v>
                </c:pt>
                <c:pt idx="3" formatCode="0.00">
                  <c:v>4.9568314518071999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B-45A2-97D3-DADA83A1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5603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Anno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Sottoprodotti riutilizzati (t)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78560345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 sz="1400" b="1" i="0" u="none" strike="noStrike" baseline="0">
                    <a:effectLst/>
                  </a:rPr>
                  <a:t>Sottoprodotti riutilizzati </a:t>
                </a:r>
                <a:r>
                  <a:rPr lang="it-IT"/>
                  <a:t>(kg) / Prodotti Finiti (t)</a:t>
                </a:r>
              </a:p>
            </c:rich>
          </c:tx>
          <c:layout>
            <c:manualLayout>
              <c:xMode val="edge"/>
              <c:yMode val="edge"/>
              <c:x val="0.96157264957264954"/>
              <c:y val="0.101447248227829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4222663111992888"/>
          <c:w val="1"/>
          <c:h val="4.51607249881166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0621805978988"/>
          <c:y val="5.933209004211256E-2"/>
          <c:w val="0.52372220881860521"/>
          <c:h val="0.80725423397887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 Attingimento idrico'!$B$5:$B$10</c:f>
              <c:strCache>
                <c:ptCount val="1"/>
                <c:pt idx="0">
                  <c:v>Acqua da acquedotto 
(m3)</c:v>
                </c:pt>
              </c:strCache>
            </c:strRef>
          </c:tx>
          <c:spPr>
            <a:gradFill rotWithShape="1">
              <a:gsLst>
                <a:gs pos="50000">
                  <a:srgbClr val="339966"/>
                </a:gs>
                <a:gs pos="0">
                  <a:srgbClr val="1D583B"/>
                </a:gs>
                <a:gs pos="100000">
                  <a:srgbClr val="1D583B"/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'5.3 Attingimento idrico'!$E$4:$P$4</c15:sqref>
                  </c15:fullRef>
                </c:ext>
              </c:extLst>
              <c:f>'5.3 Attingimento idrico'!$I$4:$P$4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'5.3 Attingimento idrico'!$E$10:$P$10</c15:sqref>
                  </c15:fullRef>
                </c:ext>
              </c:extLst>
              <c:f>'5.3 Attingimento idrico'!$I$10:$P$10</c:f>
              <c:numCache>
                <c:formatCode>#,##0</c:formatCode>
                <c:ptCount val="8"/>
                <c:pt idx="0">
                  <c:v>6160</c:v>
                </c:pt>
                <c:pt idx="1">
                  <c:v>4541</c:v>
                </c:pt>
                <c:pt idx="2">
                  <c:v>5093</c:v>
                </c:pt>
                <c:pt idx="3">
                  <c:v>10846</c:v>
                </c:pt>
                <c:pt idx="4">
                  <c:v>4501</c:v>
                </c:pt>
                <c:pt idx="5">
                  <c:v>2760</c:v>
                </c:pt>
                <c:pt idx="6">
                  <c:v>6132</c:v>
                </c:pt>
                <c:pt idx="7">
                  <c:v>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0-4913-8E96-70A4BA7AA7A0}"/>
            </c:ext>
          </c:extLst>
        </c:ser>
        <c:ser>
          <c:idx val="1"/>
          <c:order val="1"/>
          <c:spPr>
            <a:gradFill rotWithShape="1">
              <a:gsLst>
                <a:gs pos="50000">
                  <a:srgbClr val="C0C0C0"/>
                </a:gs>
                <a:gs pos="0">
                  <a:srgbClr val="919191"/>
                </a:gs>
                <a:gs pos="100000">
                  <a:srgbClr val="919191"/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'5.3 Attingimento idrico'!$E$4:$P$4</c15:sqref>
                  </c15:fullRef>
                </c:ext>
              </c:extLst>
              <c:f>'5.3 Attingimento idrico'!$I$4:$P$4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'5.3 Attingimento idrico'!$E$11:$P$11</c15:sqref>
                  </c15:fullRef>
                </c:ext>
              </c:extLst>
              <c:f>'5.3 Attingimento idrico'!$I$11:$P$11</c:f>
              <c:numCache>
                <c:formatCode>#,##0</c:formatCode>
                <c:ptCount val="8"/>
                <c:pt idx="0">
                  <c:v>5898</c:v>
                </c:pt>
                <c:pt idx="1">
                  <c:v>6222</c:v>
                </c:pt>
                <c:pt idx="2">
                  <c:v>5709</c:v>
                </c:pt>
                <c:pt idx="3">
                  <c:v>7458</c:v>
                </c:pt>
                <c:pt idx="4">
                  <c:v>5835</c:v>
                </c:pt>
                <c:pt idx="5">
                  <c:v>1958</c:v>
                </c:pt>
                <c:pt idx="6">
                  <c:v>1785</c:v>
                </c:pt>
                <c:pt idx="7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0-4913-8E96-70A4BA7AA7A0}"/>
            </c:ext>
          </c:extLst>
        </c:ser>
        <c:ser>
          <c:idx val="2"/>
          <c:order val="2"/>
          <c:tx>
            <c:strRef>
              <c:f>'5.3 Attingimento idrico'!$B$13</c:f>
              <c:strCache>
                <c:ptCount val="1"/>
                <c:pt idx="0">
                  <c:v>da acquedotto Via Mongilardi (m3)</c:v>
                </c:pt>
              </c:strCache>
            </c:strRef>
          </c:tx>
          <c:spPr>
            <a:gradFill rotWithShape="1">
              <a:gsLst>
                <a:gs pos="50000">
                  <a:srgbClr val="CED9CE"/>
                </a:gs>
                <a:gs pos="0">
                  <a:srgbClr val="6BCE9E"/>
                </a:gs>
                <a:gs pos="100000">
                  <a:srgbClr val="6BCE9E"/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'5.3 Attingimento idrico'!$E$4:$P$4</c15:sqref>
                  </c15:fullRef>
                </c:ext>
              </c:extLst>
              <c:f>'5.3 Attingimento idrico'!$I$4:$P$4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'5.3 Attingimento idrico'!$E$13:$P$13</c15:sqref>
                  </c15:fullRef>
                </c:ext>
              </c:extLst>
              <c:f>'5.3 Attingimento idrico'!$I$13:$P$13</c:f>
              <c:numCache>
                <c:formatCode>#,##0</c:formatCode>
                <c:ptCount val="8"/>
                <c:pt idx="0">
                  <c:v>3278</c:v>
                </c:pt>
                <c:pt idx="1">
                  <c:v>5328</c:v>
                </c:pt>
                <c:pt idx="2">
                  <c:v>2774</c:v>
                </c:pt>
                <c:pt idx="3">
                  <c:v>3381.0526315789475</c:v>
                </c:pt>
                <c:pt idx="4">
                  <c:v>1899.2095490716181</c:v>
                </c:pt>
                <c:pt idx="5">
                  <c:v>1790</c:v>
                </c:pt>
                <c:pt idx="6">
                  <c:v>1664</c:v>
                </c:pt>
                <c:pt idx="7">
                  <c:v>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0-4913-8E96-70A4BA7A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1529232"/>
        <c:axId val="801532112"/>
      </c:barChart>
      <c:lineChart>
        <c:grouping val="standard"/>
        <c:varyColors val="0"/>
        <c:ser>
          <c:idx val="3"/>
          <c:order val="3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'5.3 Attingimento idrico'!$E$4:$P$4</c15:sqref>
                  </c15:fullRef>
                </c:ext>
              </c:extLst>
              <c:f>'5.3 Attingimento idrico'!$I$4:$P$4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'5.3 Attingimento idrico'!$E$16:$P$16</c15:sqref>
                  </c15:fullRef>
                </c:ext>
              </c:extLst>
              <c:f>'5.3 Attingimento idrico'!$I$16:$P$16</c:f>
              <c:numCache>
                <c:formatCode>0.0</c:formatCode>
                <c:ptCount val="8"/>
                <c:pt idx="0">
                  <c:v>3.6467535761829017</c:v>
                </c:pt>
                <c:pt idx="1">
                  <c:v>4.2227664974854404</c:v>
                </c:pt>
                <c:pt idx="2">
                  <c:v>3.9441765836444218</c:v>
                </c:pt>
                <c:pt idx="3">
                  <c:v>5.215775929650321</c:v>
                </c:pt>
                <c:pt idx="4">
                  <c:v>2.873827243164421</c:v>
                </c:pt>
                <c:pt idx="5">
                  <c:v>1.6694499013254509</c:v>
                </c:pt>
                <c:pt idx="6">
                  <c:v>2.3367158854178811</c:v>
                </c:pt>
                <c:pt idx="7">
                  <c:v>2.6677113329339308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00-4913-8E96-70A4BA7A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98320"/>
        <c:axId val="808606480"/>
      </c:lineChart>
      <c:catAx>
        <c:axId val="80152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01532112"/>
        <c:crosses val="autoZero"/>
        <c:auto val="1"/>
        <c:lblAlgn val="ctr"/>
        <c:lblOffset val="100"/>
        <c:noMultiLvlLbl val="0"/>
      </c:catAx>
      <c:valAx>
        <c:axId val="80153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Acqua prelevata (m3)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01529232"/>
        <c:crosses val="autoZero"/>
        <c:crossBetween val="between"/>
      </c:valAx>
      <c:valAx>
        <c:axId val="8086064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Acqua prelevata (m3) / </a:t>
                </a:r>
              </a:p>
              <a:p>
                <a:pPr>
                  <a:defRPr/>
                </a:pPr>
                <a:r>
                  <a:rPr lang="it-IT"/>
                  <a:t>Prodotto finito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08598320"/>
        <c:crosses val="max"/>
        <c:crossBetween val="between"/>
      </c:valAx>
      <c:catAx>
        <c:axId val="80859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860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01219485447323"/>
          <c:y val="0"/>
          <c:w val="0.24084574386418964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Attingimento idrico</a:t>
            </a:r>
            <a:r>
              <a:rPr lang="it-IT" baseline="0"/>
              <a:t> Via Sant'Agata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'5.3 Attingimento idrico'!$B$5:$B$10</c:f>
              <c:strCache>
                <c:ptCount val="1"/>
                <c:pt idx="0">
                  <c:v>Acqua da acquedotto 
(m3)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'5.3 Attingimento idrico'!$E$4:$P$4</c15:sqref>
                  </c15:fullRef>
                </c:ext>
              </c:extLst>
              <c:f>'5.3 Attingimento idrico'!$M$4:$P$4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'5.3 Attingimento idrico'!$E$10:$P$10</c15:sqref>
                  </c15:fullRef>
                </c:ext>
              </c:extLst>
              <c:f>'5.3 Attingimento idrico'!$M$10:$P$10</c:f>
              <c:numCache>
                <c:formatCode>#,##0</c:formatCode>
                <c:ptCount val="4"/>
                <c:pt idx="0">
                  <c:v>4501</c:v>
                </c:pt>
                <c:pt idx="1">
                  <c:v>2760</c:v>
                </c:pt>
                <c:pt idx="2">
                  <c:v>6132</c:v>
                </c:pt>
                <c:pt idx="3">
                  <c:v>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7-4E65-B2C7-132349B15213}"/>
            </c:ext>
          </c:extLst>
        </c:ser>
        <c:ser>
          <c:idx val="1"/>
          <c:order val="1"/>
          <c:tx>
            <c:strRef>
              <c:f>'5.3 Attingimento idrico'!$B$11</c:f>
              <c:strCache>
                <c:ptCount val="1"/>
                <c:pt idx="0">
                  <c:v>Acqua da pozzo (m3)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'5.3 Attingimento idrico'!$E$4:$P$4</c15:sqref>
                  </c15:fullRef>
                </c:ext>
              </c:extLst>
              <c:f>'5.3 Attingimento idrico'!$M$4:$P$4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'5.3 Attingimento idrico'!$E$11:$P$11</c15:sqref>
                  </c15:fullRef>
                </c:ext>
              </c:extLst>
              <c:f>'5.3 Attingimento idrico'!$M$11:$P$11</c:f>
              <c:numCache>
                <c:formatCode>#,##0</c:formatCode>
                <c:ptCount val="4"/>
                <c:pt idx="0">
                  <c:v>5835</c:v>
                </c:pt>
                <c:pt idx="1">
                  <c:v>1958</c:v>
                </c:pt>
                <c:pt idx="2">
                  <c:v>1785</c:v>
                </c:pt>
                <c:pt idx="3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7-4E65-B2C7-132349B15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1529232"/>
        <c:axId val="801532112"/>
      </c:barChart>
      <c:catAx>
        <c:axId val="80152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1532112"/>
        <c:crosses val="autoZero"/>
        <c:auto val="1"/>
        <c:lblAlgn val="ctr"/>
        <c:lblOffset val="100"/>
        <c:noMultiLvlLbl val="0"/>
      </c:catAx>
      <c:valAx>
        <c:axId val="80153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152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1614583333333"/>
          <c:y val="6.1596119929453262E-2"/>
          <c:w val="0.48633541666666669"/>
          <c:h val="0.73455820105820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'5.9 Rifiuti'!$B$68</c:f>
              <c:strCache>
                <c:ptCount val="1"/>
                <c:pt idx="0">
                  <c:v>Totale rifiuti NON Pericolosi</c:v>
                </c:pt>
              </c:strCache>
            </c:strRef>
          </c:tx>
          <c:spPr>
            <a:gradFill>
              <a:gsLst>
                <a:gs pos="0">
                  <a:srgbClr val="1D583B"/>
                </a:gs>
                <a:gs pos="50000">
                  <a:srgbClr val="339966"/>
                </a:gs>
                <a:gs pos="100000">
                  <a:srgbClr val="1D583B"/>
                </a:gs>
              </a:gsLst>
              <a:lin ang="5400000" scaled="1"/>
            </a:grad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'5.9 Rifiuti'!$U$4:$AB$4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'5.9 Rifiuti'!$U$68:$AB$68</c:f>
              <c:numCache>
                <c:formatCode>#,##0</c:formatCode>
                <c:ptCount val="4"/>
                <c:pt idx="0">
                  <c:v>2037585</c:v>
                </c:pt>
                <c:pt idx="1">
                  <c:v>1862453</c:v>
                </c:pt>
                <c:pt idx="2">
                  <c:v>1965978</c:v>
                </c:pt>
                <c:pt idx="3">
                  <c:v>1915590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C-4C86-8650-D935E5997A34}"/>
            </c:ext>
          </c:extLst>
        </c:ser>
        <c:ser>
          <c:idx val="2"/>
          <c:order val="1"/>
          <c:tx>
            <c:strRef>
              <c:f>'5.9 Rifiuti'!$B$71</c:f>
              <c:strCache>
                <c:ptCount val="1"/>
                <c:pt idx="0">
                  <c:v>Rifiuti pericolosi eccetto 070204*</c:v>
                </c:pt>
              </c:strCache>
            </c:strRef>
          </c:tx>
          <c:spPr>
            <a:gradFill>
              <a:gsLst>
                <a:gs pos="0">
                  <a:srgbClr val="919191"/>
                </a:gs>
                <a:gs pos="50000">
                  <a:srgbClr val="C0C0C0"/>
                </a:gs>
                <a:gs pos="100000">
                  <a:srgbClr val="919191"/>
                </a:gs>
              </a:gsLst>
              <a:lin ang="5400000" scaled="1"/>
            </a:grad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'5.9 Rifiuti'!$U$4:$AB$4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'5.9 Rifiuti'!$U$71:$AB$71</c:f>
              <c:numCache>
                <c:formatCode>#,##0</c:formatCode>
                <c:ptCount val="4"/>
                <c:pt idx="0">
                  <c:v>213955</c:v>
                </c:pt>
                <c:pt idx="1">
                  <c:v>177500</c:v>
                </c:pt>
                <c:pt idx="2">
                  <c:v>193290</c:v>
                </c:pt>
                <c:pt idx="3">
                  <c:v>173135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C-4C86-8650-D935E5997A34}"/>
            </c:ext>
          </c:extLst>
        </c:ser>
        <c:ser>
          <c:idx val="1"/>
          <c:order val="2"/>
          <c:tx>
            <c:strRef>
              <c:f>'5.9 Rifiuti'!$B$69</c:f>
              <c:strCache>
                <c:ptCount val="1"/>
                <c:pt idx="0">
                  <c:v>CER 070204* - Acqua e DMF</c:v>
                </c:pt>
              </c:strCache>
            </c:strRef>
          </c:tx>
          <c:spPr>
            <a:pattFill prst="narHorz">
              <a:fgClr>
                <a:srgbClr val="C0C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'5.9 Rifiuti'!$U$4:$AB$4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'5.9 Rifiuti'!$U$69:$AB$69</c:f>
              <c:numCache>
                <c:formatCode>#,##0</c:formatCode>
                <c:ptCount val="4"/>
                <c:pt idx="0">
                  <c:v>377610</c:v>
                </c:pt>
                <c:pt idx="1">
                  <c:v>234710</c:v>
                </c:pt>
                <c:pt idx="2">
                  <c:v>477540</c:v>
                </c:pt>
                <c:pt idx="3">
                  <c:v>428590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C-4C86-8650-D935E599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9655032"/>
        <c:axId val="559655816"/>
      </c:barChart>
      <c:lineChart>
        <c:grouping val="standard"/>
        <c:varyColors val="0"/>
        <c:ser>
          <c:idx val="3"/>
          <c:order val="3"/>
          <c:tx>
            <c:strRef>
              <c:f>'5.9 Rifiuti'!$B$73</c:f>
              <c:strCache>
                <c:ptCount val="1"/>
                <c:pt idx="0">
                  <c:v>Rifiuti prodotti (t) / Prodotto finito (t)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'5.9 Rifiuti'!$U$73:$AB$73</c:f>
              <c:numCache>
                <c:formatCode>#,##0.00</c:formatCode>
                <c:ptCount val="4"/>
                <c:pt idx="0">
                  <c:v>0.61753931275652318</c:v>
                </c:pt>
                <c:pt idx="1">
                  <c:v>0.58350275367219639</c:v>
                </c:pt>
                <c:pt idx="2">
                  <c:v>0.64309269808965164</c:v>
                </c:pt>
                <c:pt idx="3">
                  <c:v>0.65053470445263761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3C-4C86-8650-D935E599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653072"/>
        <c:axId val="559652288"/>
      </c:lineChart>
      <c:catAx>
        <c:axId val="559655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59655816"/>
        <c:crosses val="autoZero"/>
        <c:auto val="1"/>
        <c:lblAlgn val="ctr"/>
        <c:lblOffset val="100"/>
        <c:noMultiLvlLbl val="0"/>
      </c:catAx>
      <c:valAx>
        <c:axId val="55965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Rifiuti prodotti (t)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59655032"/>
        <c:crosses val="autoZero"/>
        <c:crossBetween val="between"/>
        <c:dispUnits>
          <c:builtInUnit val="thousands"/>
        </c:dispUnits>
      </c:valAx>
      <c:valAx>
        <c:axId val="559652288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Rifiuti prodotti (t) / Prodotto finito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59653072"/>
        <c:crosses val="max"/>
        <c:crossBetween val="between"/>
      </c:valAx>
      <c:catAx>
        <c:axId val="55965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559652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33958333333338"/>
          <c:y val="1.0028218694885344E-2"/>
          <c:w val="0.24743124999999999"/>
          <c:h val="0.97434391534391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6</xdr:col>
      <xdr:colOff>321225</xdr:colOff>
      <xdr:row>47</xdr:row>
      <xdr:rowOff>172500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B488CD-3E53-44AF-AF26-31E277C59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2105025"/>
    <xdr:ext cx="11049000" cy="6048375"/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FA10DF2-B37F-4189-8FDF-9554FBC9FD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19</xdr:row>
      <xdr:rowOff>61912</xdr:rowOff>
    </xdr:from>
    <xdr:to>
      <xdr:col>17</xdr:col>
      <xdr:colOff>0</xdr:colOff>
      <xdr:row>31</xdr:row>
      <xdr:rowOff>152400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B90A87-EE73-E720-47F5-B55D30521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19</xdr:row>
      <xdr:rowOff>76200</xdr:rowOff>
    </xdr:from>
    <xdr:to>
      <xdr:col>5</xdr:col>
      <xdr:colOff>542925</xdr:colOff>
      <xdr:row>33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99665B9-FE43-4504-8C54-5A600CCDC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</xdr:row>
      <xdr:rowOff>0</xdr:rowOff>
    </xdr:from>
    <xdr:to>
      <xdr:col>30</xdr:col>
      <xdr:colOff>466725</xdr:colOff>
      <xdr:row>95</xdr:row>
      <xdr:rowOff>172500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136603A-7954-4A9C-A12D-7BB99DB1B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LOGO_CHIORINO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41E5F9-364F-4DC8-9249-3194939AE0E9}" name="Tabella1" displayName="Tabella1" ref="A4:J11" totalsRowCount="1">
  <autoFilter ref="A4:J10" xr:uid="{2541E5F9-364F-4DC8-9249-3194939AE0E9}"/>
  <tableColumns count="10">
    <tableColumn id="1" xr3:uid="{6C2E9E9C-5E04-4286-A369-08D30E643A23}" name="Nome commerciale" totalsRowLabel="Totale"/>
    <tableColumn id="2" xr3:uid="{D7AC7D2F-62BD-44A6-8C57-B55FE058402D}" name="Unità di misura " totalsRowLabel="kg" dataDxfId="219" totalsRowDxfId="116"/>
    <tableColumn id="9" xr3:uid="{E567F66B-8417-45FB-B508-1C36D15DE383}" name="2018" totalsRowFunction="sum" dataDxfId="218" totalsRowDxfId="115"/>
    <tableColumn id="8" xr3:uid="{A83B62AF-DE4C-4782-B0F7-F7893AFFF7B4}" name="2019" totalsRowFunction="sum" dataDxfId="217" totalsRowDxfId="114"/>
    <tableColumn id="7" xr3:uid="{8374078C-4000-4835-93F4-8DE778758300}" name="2020" totalsRowFunction="sum" dataDxfId="216" totalsRowDxfId="113"/>
    <tableColumn id="6" xr3:uid="{574CF9CA-6495-4678-8EB8-699EB2B8FB22}" name="2021" totalsRowFunction="sum" dataDxfId="215" totalsRowDxfId="112"/>
    <tableColumn id="5" xr3:uid="{2C3E8983-9B72-4C6F-BBCB-4F29F3021974}" name="2022" totalsRowFunction="sum" dataDxfId="214" totalsRowDxfId="111"/>
    <tableColumn id="3" xr3:uid="{05237D20-0A6A-4938-B79A-614895178706}" name="2023" totalsRowFunction="sum" dataDxfId="213" totalsRowDxfId="110"/>
    <tableColumn id="4" xr3:uid="{F044FFF0-404F-4EFF-BFD8-977292348371}" name="2024" totalsRowFunction="sum" dataDxfId="212" totalsRowDxfId="109"/>
    <tableColumn id="10" xr3:uid="{1702C8BA-76D7-4E03-972F-91C13D1B0A81}" name="2025" totalsRowFunction="sum" dataDxfId="120" totalsRowDxfId="10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AFA5664-A128-4679-B131-E1F3A7E1EF54}" name="Tabella14" displayName="Tabella14" ref="B4:I5" totalsRowShown="0" headerRowDxfId="142" dataDxfId="141">
  <autoFilter ref="B4:I5" xr:uid="{2AFA5664-A128-4679-B131-E1F3A7E1EF54}"/>
  <tableColumns count="8">
    <tableColumn id="1" xr3:uid="{324E018A-C11D-4D1C-8FE2-2C8FA997087C}" name="Combustibile" dataDxfId="140"/>
    <tableColumn id="2" xr3:uid="{C5409DFD-8ED8-447E-BFD1-5DCEF060AA37}" name="Unità di misura" dataDxfId="139"/>
    <tableColumn id="3" xr3:uid="{D6901D90-5FB4-4454-A564-2AC095D6CC80}" name="2020" dataDxfId="138"/>
    <tableColumn id="4" xr3:uid="{945D39C5-65F6-4DE7-8D5C-8EFDC5351ACF}" name="2021" dataDxfId="137"/>
    <tableColumn id="5" xr3:uid="{7394C4C6-B83F-45B5-9FAB-660C805B8F60}" name="20202" dataDxfId="136"/>
    <tableColumn id="6" xr3:uid="{C9DD4E27-DA63-4E9C-9C50-19389DFC41F8}" name="2023" dataDxfId="135"/>
    <tableColumn id="7" xr3:uid="{E0333622-FBA3-4C88-91D5-A1E9CD0BF936}" name="2024" dataDxfId="134"/>
    <tableColumn id="8" xr3:uid="{D5B54FC9-F695-4C0E-A3FD-FF9077008AB6}" name="2025" dataDxfId="8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8AD5561-6CBA-479D-836F-CDEC2A1B81DD}" name="Tabella18" displayName="Tabella18" ref="A5:T97" totalsRowShown="0" headerRowDxfId="86" dataDxfId="85">
  <autoFilter ref="A5:T97" xr:uid="{B8AD5561-6CBA-479D-836F-CDEC2A1B81DD}">
    <filterColumn colId="2">
      <filters>
        <filter val="2025"/>
      </filters>
    </filterColumn>
  </autoFilter>
  <tableColumns count="20">
    <tableColumn id="1" xr3:uid="{8A7A736F-BF85-4581-8CDB-FE58B98685E1}" name="Camini" dataDxfId="84"/>
    <tableColumn id="2" xr3:uid="{FB7C9573-68AE-482B-B3B8-B1DC24672D63}" name="Provenienza" dataDxfId="83"/>
    <tableColumn id="3" xr3:uid="{361720AD-F798-4343-A860-D4B47EBD12F3}" name="Anno" dataDxfId="82"/>
    <tableColumn id="4" xr3:uid="{90CCBFAA-BB56-45EC-97D6-A768201C2A86}" name="Autocontr." dataDxfId="81"/>
    <tableColumn id="5" xr3:uid="{AA877111-06F1-44C5-B207-297AC8246668}" name="data campionamento" dataDxfId="80"/>
    <tableColumn id="6" xr3:uid="{A9BB2207-F470-4A81-AF27-C21F58AE570B}" name="n° rapporto" dataDxfId="79"/>
    <tableColumn id="7" xr3:uid="{EFE0E0EA-D743-40FA-82F3-89640CEDD01A}" name="Ente" dataDxfId="78"/>
    <tableColumn id="8" xr3:uid="{95BFEFD3-4B6E-4061-A757-68EC2B0E6E4B}" name="Portata misurata (Nm3/h)" dataDxfId="77"/>
    <tableColumn id="9" xr3:uid="{9BBECE56-F97F-4F30-AF9E-D5D866C147AC}" name="Portata autorizzata (Nm3/h)" dataDxfId="76"/>
    <tableColumn id="10" xr3:uid="{74160F35-79B5-4AB5-B3DB-21E05A21043E}" name="Temp. (°C)" dataDxfId="75"/>
    <tableColumn id="11" xr3:uid="{37E88298-0B34-419E-9200-E423BC8CDA9A}" name="Temp. Dichiarata (°C)" dataDxfId="74"/>
    <tableColumn id="12" xr3:uid="{DCED4F7E-5313-47DA-B56D-A2C4ACC33454}" name="Inquinanti" dataDxfId="73"/>
    <tableColumn id="13" xr3:uid="{F4672BE7-7DE6-40ED-9A54-BDF1A20D5B6C}" name="Conc. media (mg/Nm3)" dataDxfId="72"/>
    <tableColumn id="14" xr3:uid="{700290FB-E93B-4233-972E-2E582286AA47}" name="Conc.Autorizzata (mg/Nm3)" dataDxfId="71"/>
    <tableColumn id="15" xr3:uid="{9A86EE3A-4BCA-45D3-B905-FD2FEB040D7E}" name="S" dataDxfId="70"/>
    <tableColumn id="16" xr3:uid="{4914DF26-6DDC-43E4-9559-8137EC1F1E07}" name="flusso massa (Kg/h)" dataDxfId="69"/>
    <tableColumn id="17" xr3:uid="{D21039CC-7DB1-4676-B200-1A70BAE08E01}" name="flusso massa autorizzato (Kg/h)" dataDxfId="68"/>
    <tableColumn id="18" xr3:uid="{4F375BAC-4332-4220-8833-E3D8EBE3C780}" name="Indice di Emissione_x000a_" dataDxfId="67"/>
    <tableColumn id="19" xr3:uid="{DFACFF42-84F9-4B73-9C76-51882F9CE6C6}" name="Risultato campionamento" dataDxfId="66"/>
    <tableColumn id="20" xr3:uid="{D2CD96BB-C9C8-45FB-B8CC-F5DA9A16E799}" name="Nome AIA" dataDxfId="6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D67969-7D2D-4438-AAC3-382FCFB0A67F}" name="Tabella19" displayName="Tabella19" ref="A5:I12" totalsRowShown="0" headerRowDxfId="133" dataDxfId="132">
  <autoFilter ref="A5:I12" xr:uid="{25D67969-7D2D-4438-AAC3-382FCFB0A67F}"/>
  <tableColumns count="9">
    <tableColumn id="1" xr3:uid="{2CB0C880-FC47-48E9-85B5-12FCDB95C126}" name="Data" dataDxfId="131"/>
    <tableColumn id="2" xr3:uid="{43BDF050-EB64-40CA-9D30-1C969D8D6395}" name="N° rapporto" dataDxfId="130"/>
    <tableColumn id="3" xr3:uid="{A68275B4-A461-46A3-89A7-12F07195DE7D}" name="Ente" dataDxfId="129"/>
    <tableColumn id="4" xr3:uid="{429ABFF4-9646-40CA-BE36-C4836A1EDC52}" name="Note" dataDxfId="128"/>
    <tableColumn id="5" xr3:uid="{068A789F-90AE-48AB-A2C8-FAB7946DB32A}" name="pH" dataDxfId="127"/>
    <tableColumn id="6" xr3:uid="{63202868-7A71-461B-BB78-F57EC1136C2F}" name="COD_x000a_[mg/l]" dataDxfId="126"/>
    <tableColumn id="7" xr3:uid="{8CFE43F5-EAB2-4002-AADF-4679D66BC4CE}" name="Solidi sospesi_x000a_[mg/l]" dataDxfId="125"/>
    <tableColumn id="8" xr3:uid="{E5D3AC2E-FE97-44AF-90CD-472D813252CE}" name="Azoto ammoniacale_x000a_[mg/l]" dataDxfId="124"/>
    <tableColumn id="9" xr3:uid="{5E1B56F8-1CAD-4DFA-A6F4-B1384AA730CE}" name="Azoto Totale _x000a_[mg/l]" dataDxfId="12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7AC192-8590-42E2-A016-DBD888127DC0}" name="Tabella20" displayName="Tabella20" ref="A4:AB66" totalsRowCount="1" headerRowDxfId="122" totalsRowBorderDxfId="121">
  <autoFilter ref="A4:AB65" xr:uid="{237AC192-8590-42E2-A016-DBD888127DC0}">
    <filterColumn colId="0">
      <filters>
        <filter val="Via Sant'Agata"/>
      </filters>
    </filterColumn>
  </autoFilter>
  <tableColumns count="28">
    <tableColumn id="26" xr3:uid="{7B041E71-1833-4376-9A45-770A4D336742}" name="Sede" totalsRowLabel="Tutti" dataDxfId="64" totalsRowDxfId="63"/>
    <tableColumn id="1" xr3:uid="{7B025037-7B15-462E-8B86-C227A93F7853}" name="Descrizione rifiuto" totalsRowLabel="TOTALE RIFIUTI" dataDxfId="62" totalsRowDxfId="61"/>
    <tableColumn id="2" xr3:uid="{6BC7C239-34BC-459B-BBE5-2330B31DC0F8}" name="CER" dataDxfId="60" totalsRowDxfId="59"/>
    <tableColumn id="3" xr3:uid="{7DF44DC0-9B6D-40EA-8A8C-9269BC5038A5}" name="P/NP" totalsRowLabel="Totale" dataDxfId="58" totalsRowDxfId="57"/>
    <tableColumn id="4" xr3:uid="{0155C88F-4996-4301-9CE7-6212F51628F6}" name="2002" totalsRowFunction="sum" dataDxfId="56" totalsRowDxfId="55"/>
    <tableColumn id="5" xr3:uid="{05558AF0-31A9-4BAD-8803-E469C3D665DF}" name="2003" totalsRowFunction="sum" dataDxfId="54" totalsRowDxfId="53"/>
    <tableColumn id="6" xr3:uid="{BCA83035-FB2A-41B9-BC2C-6671FA134BE6}" name="2004" totalsRowFunction="sum" dataDxfId="52" totalsRowDxfId="51"/>
    <tableColumn id="7" xr3:uid="{9C3D96EF-93AA-4942-BCAB-36225D79F229}" name="2005" totalsRowFunction="sum" dataDxfId="50" totalsRowDxfId="49"/>
    <tableColumn id="8" xr3:uid="{D2FABEEB-D1F4-47EC-B307-14CB1624A66C}" name="2006" totalsRowFunction="sum" dataDxfId="48" totalsRowDxfId="47"/>
    <tableColumn id="9" xr3:uid="{4D421CA4-B58E-4227-8D9C-BC826A954DD2}" name="2007" totalsRowFunction="sum" dataDxfId="46" totalsRowDxfId="45"/>
    <tableColumn id="10" xr3:uid="{C472549A-26CD-4242-9C86-B98BEB8BD8CD}" name="2008" totalsRowFunction="sum" dataDxfId="44" totalsRowDxfId="43"/>
    <tableColumn id="11" xr3:uid="{C742816C-38F9-47C3-BAF2-8D869C5B1291}" name="2009" totalsRowFunction="sum" dataDxfId="42" totalsRowDxfId="41"/>
    <tableColumn id="12" xr3:uid="{819D5FAB-245F-4F60-85F0-97A685B7E742}" name="2010" totalsRowFunction="sum" dataDxfId="40" totalsRowDxfId="39"/>
    <tableColumn id="13" xr3:uid="{BEF53DC8-03C7-4626-9E0D-22856D4DBAFB}" name="2011" totalsRowFunction="sum" dataDxfId="38" totalsRowDxfId="37"/>
    <tableColumn id="14" xr3:uid="{6AA8F9E1-0AF2-4270-97B2-50CF77B51B5F}" name="2012" totalsRowFunction="sum" dataDxfId="36" totalsRowDxfId="35"/>
    <tableColumn id="15" xr3:uid="{36320878-CCE0-45F8-98EA-9C30F0DE5292}" name="2013" totalsRowFunction="sum" dataDxfId="34" totalsRowDxfId="33"/>
    <tableColumn id="16" xr3:uid="{768E6D64-7562-4055-A658-95511C5AD445}" name="2014" totalsRowFunction="sum" dataDxfId="32" totalsRowDxfId="31"/>
    <tableColumn id="17" xr3:uid="{307CD2F9-B304-42FE-AF83-2AB0D18C6954}" name="2015" totalsRowFunction="sum" dataDxfId="30" totalsRowDxfId="29"/>
    <tableColumn id="18" xr3:uid="{3A3C4E21-60AE-4303-AAF0-31BD80B925DF}" name="2016" totalsRowFunction="sum" dataDxfId="28" totalsRowDxfId="27"/>
    <tableColumn id="19" xr3:uid="{D749C308-A2AC-495A-B32B-9F7753E87D5E}" name="2017" totalsRowFunction="sum" dataDxfId="26" totalsRowDxfId="25"/>
    <tableColumn id="20" xr3:uid="{5E36F741-7F04-4D8A-B08E-5A1C6C919EEE}" name="2018" totalsRowFunction="sum" dataDxfId="24" totalsRowDxfId="23"/>
    <tableColumn id="21" xr3:uid="{A539E870-FD44-4E48-9919-39A87E24293C}" name="2019" totalsRowFunction="sum" dataDxfId="22" totalsRowDxfId="21"/>
    <tableColumn id="22" xr3:uid="{F156E9A9-0567-4F19-ACCA-02EB732D3AEA}" name="2020" totalsRowFunction="sum" dataDxfId="20" totalsRowDxfId="19"/>
    <tableColumn id="23" xr3:uid="{6B52058D-175C-4CBE-8188-7387783809F5}" name="2021" totalsRowFunction="sum" dataDxfId="18" totalsRowDxfId="17"/>
    <tableColumn id="24" xr3:uid="{2DE882A7-F79B-483D-8488-26FC5DA0BDE2}" name="2022" totalsRowFunction="sum" dataDxfId="16" totalsRowDxfId="15"/>
    <tableColumn id="25" xr3:uid="{42360BCE-AC3F-40A3-A06A-A1998ABADA8C}" name="2023" totalsRowFunction="sum" dataDxfId="14" totalsRowDxfId="13"/>
    <tableColumn id="27" xr3:uid="{CBF340AD-C036-40E5-BE74-A213DAA8B84D}" name="2024" totalsRowFunction="sum" dataDxfId="12" totalsRowDxfId="11"/>
    <tableColumn id="28" xr3:uid="{CA1A8082-DC5A-4D46-882E-C80A309E3D72}" name="2025" totalsRowFunction="sum" dataDxfId="10" totalsRowDxfId="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D7B14B-9643-4A37-B74A-53361553ECCA}" name="Tabella11" displayName="Tabella11" ref="A3:F9" totalsRowShown="0" dataDxfId="229">
  <autoFilter ref="A3:F9" xr:uid="{07D7B14B-9643-4A37-B74A-53361553ECCA}"/>
  <tableColumns count="6">
    <tableColumn id="1" xr3:uid="{E3B4E0BA-5DCE-4CFB-88E8-42CE94E65B3D}" name="Indicatore" dataDxfId="228"/>
    <tableColumn id="2" xr3:uid="{0F5323AF-909F-4EE5-8EFD-DF1BE7D2E099}" name="Unità di misura" dataDxfId="227"/>
    <tableColumn id="3" xr3:uid="{A1C46D59-2D20-42B3-98BC-F5B6C9CDC954}" name="2022" dataDxfId="226"/>
    <tableColumn id="4" xr3:uid="{0F78CE9F-90D3-441D-AD12-FE509DF81447}" name="2023" dataDxfId="225"/>
    <tableColumn id="5" xr3:uid="{78F09E76-8EBC-4DAC-A8C7-557EF4AD84A2}" name="2024" dataDxfId="4"/>
    <tableColumn id="6" xr3:uid="{075FD397-CAC6-4956-804B-C84FC885D402}" name="2025" dataDxfId="3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EF8FA4-720D-458F-8567-2A196AD385B4}" name="Tabella12" displayName="Tabella12" ref="A13:F18" totalsRowShown="0" dataDxfId="224">
  <autoFilter ref="A13:F18" xr:uid="{F0EF8FA4-720D-458F-8567-2A196AD385B4}"/>
  <tableColumns count="6">
    <tableColumn id="1" xr3:uid="{6CD51293-6DCB-4B02-817A-F7E827314495}" name="Indicatore" dataDxfId="223"/>
    <tableColumn id="2" xr3:uid="{92CABBB2-9363-47FD-9CB5-F7801F299948}" name="Unità di misura" dataDxfId="222"/>
    <tableColumn id="3" xr3:uid="{2719866F-5DA5-4504-9FC3-92E5793D9208}" name="2022" dataDxfId="221"/>
    <tableColumn id="4" xr3:uid="{0BA0C9E4-5D6A-4336-B93B-DAEF3D7FFD7B}" name="2023" dataDxfId="220"/>
    <tableColumn id="5" xr3:uid="{DF846399-5ACF-4D41-9AC8-82B87D6A2372}" name="2024" dataDxfId="2"/>
    <tableColumn id="6" xr3:uid="{2AECA418-2B76-484F-9D47-54E535F396BA}" name="2025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833F3F-1146-4CFB-B8EB-FA2F7EC6506D}" name="Tabella2" displayName="Tabella2" ref="A24:J27" totalsRowCount="1">
  <autoFilter ref="A24:J26" xr:uid="{D0833F3F-1146-4CFB-B8EB-FA2F7EC6506D}"/>
  <tableColumns count="10">
    <tableColumn id="1" xr3:uid="{A9E64E85-99FD-45DB-8CB2-E784E3013C59}" name="Prodotto Finiti" totalsRowLabel="Totale"/>
    <tableColumn id="2" xr3:uid="{AAA82BE5-031C-415C-A031-38B8944E3D47}" name="Unità di misura " totalsRowLabel="t" dataDxfId="211" totalsRowDxfId="98"/>
    <tableColumn id="9" xr3:uid="{F5F5D0B3-0FF5-4AB0-A0D1-B6BF702F8AD4}" name="2018" totalsRowFunction="sum" dataDxfId="210" totalsRowDxfId="97"/>
    <tableColumn id="8" xr3:uid="{0C846E3C-75F6-40D1-B3F4-15D0FCBF8E72}" name="2019" totalsRowFunction="sum" dataDxfId="209" totalsRowDxfId="96"/>
    <tableColumn id="7" xr3:uid="{53724931-0D24-4A49-95AC-64D64EF321B6}" name="2020" totalsRowFunction="sum" dataDxfId="208" totalsRowDxfId="95"/>
    <tableColumn id="6" xr3:uid="{108C7708-F6F0-41AC-931B-06FBFFB95CAE}" name="2021" totalsRowFunction="sum" dataDxfId="207" totalsRowDxfId="94"/>
    <tableColumn id="5" xr3:uid="{42DB5727-1742-4272-B769-38A3869D1E00}" name="2022" totalsRowFunction="sum" dataDxfId="206" totalsRowDxfId="93"/>
    <tableColumn id="3" xr3:uid="{6C593E2F-28CA-42C8-ADC0-F2A77E9C114E}" name="2023" totalsRowFunction="sum" dataDxfId="205" totalsRowDxfId="92"/>
    <tableColumn id="4" xr3:uid="{BF410887-6D09-4D63-936C-A677B8FBEA19}" name="2024" totalsRowFunction="sum" dataDxfId="204" totalsRowDxfId="91"/>
    <tableColumn id="10" xr3:uid="{E752E6DD-EA87-4825-895E-68CE53AF0773}" name="2025" totalsRowFunction="sum" dataDxfId="118" totalsRow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9F71C8-CC6E-4C31-84B5-B6750FC596B5}" name="Tabella3" displayName="Tabella3" ref="A16:J19" totalsRowCount="1">
  <autoFilter ref="A16:J18" xr:uid="{179F71C8-CC6E-4C31-84B5-B6750FC596B5}"/>
  <tableColumns count="10">
    <tableColumn id="1" xr3:uid="{6A20BD01-2C52-4A25-834A-D2DA2B2D4BBC}" name="Materie prime" totalsRowLabel="Totale EMAS"/>
    <tableColumn id="2" xr3:uid="{CDA34296-57AA-4A03-86DA-EFEA0F987138}" name="Unità di misura " totalsRowLabel="t" dataDxfId="203" totalsRowDxfId="107"/>
    <tableColumn id="9" xr3:uid="{E92BEE05-6AED-43D0-9D8A-7CA07AD36D74}" name="2018" totalsRowFunction="sum" dataDxfId="202" totalsRowDxfId="106"/>
    <tableColumn id="8" xr3:uid="{27FC52DE-FE5B-4916-AEF4-BEF6B5E5A128}" name="2019" totalsRowFunction="sum" dataDxfId="201" totalsRowDxfId="105"/>
    <tableColumn id="7" xr3:uid="{5C097042-477E-4D09-A135-202D9914CBB0}" name="2020" totalsRowFunction="sum" dataDxfId="200" totalsRowDxfId="104"/>
    <tableColumn id="6" xr3:uid="{77D24327-43C0-445F-A71B-E1D208884AEB}" name="2021" totalsRowFunction="sum" dataDxfId="199" totalsRowDxfId="103"/>
    <tableColumn id="3" xr3:uid="{B763308C-510F-4D46-88BC-5B9A9FE38A1B}" name="2022" totalsRowFunction="sum" dataDxfId="198" totalsRowDxfId="102"/>
    <tableColumn id="4" xr3:uid="{E2AA25C0-B3DE-48CB-8DD8-1CA981A00B36}" name="2023" totalsRowFunction="sum" dataDxfId="197" totalsRowDxfId="101"/>
    <tableColumn id="5" xr3:uid="{82A6CB27-105F-4BF7-BE3D-AA207F8F847D}" name="2024" totalsRowFunction="sum" dataDxfId="196" totalsRowDxfId="100"/>
    <tableColumn id="10" xr3:uid="{9C88419C-C811-46F1-AB97-9D328997964F}" name="2025" totalsRowFunction="sum" dataDxfId="119" totalsRowDxfId="99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F3515B5-76EA-425F-AACF-905D94D41D83}" name="Tabella8" displayName="Tabella8" ref="A31:J34" totalsRowShown="0">
  <autoFilter ref="A31:J34" xr:uid="{EF3515B5-76EA-425F-AACF-905D94D41D83}"/>
  <tableColumns count="10">
    <tableColumn id="1" xr3:uid="{F9C2E4B3-7396-49AC-A1CF-C68ED98A7750}" name="Indicatore" dataDxfId="195"/>
    <tableColumn id="2" xr3:uid="{5D652B5C-7666-481B-87AB-7432C5BF99FC}" name="Unità di misura " dataDxfId="194"/>
    <tableColumn id="9" xr3:uid="{3A71ECDD-F5C4-42BF-9EBF-2728E7CB7E5F}" name="2018" dataDxfId="193"/>
    <tableColumn id="8" xr3:uid="{4A65CB89-9213-4F71-9C55-64D80452951C}" name="2019" dataDxfId="192"/>
    <tableColumn id="7" xr3:uid="{3FE81443-A4CB-4BCF-AC6A-D6D06786A541}" name="2020" dataDxfId="191"/>
    <tableColumn id="6" xr3:uid="{A9E56505-3919-4FEF-9A7E-BA792BF4B948}" name="2021" dataDxfId="190"/>
    <tableColumn id="3" xr3:uid="{D657A246-85D8-45CD-95F2-B77DA5077343}" name="2022" dataDxfId="189"/>
    <tableColumn id="4" xr3:uid="{2C2309BF-C049-45D5-87E2-0180524C2C96}" name="2023" dataDxfId="188"/>
    <tableColumn id="5" xr3:uid="{A86DC702-8D3A-448C-8B89-6DF7052F4FF2}" name="2024" dataDxfId="187"/>
    <tableColumn id="10" xr3:uid="{4AFAC842-D95F-4960-88EE-23F8B7D85705}" name="2025" dataDxfId="11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4C31D0-2E8C-4853-8E81-13D2B400BBE9}" name="Tabella6" displayName="Tabella6" ref="A2:N15" totalsRowShown="0" headerRowDxfId="186" dataDxfId="185" tableBorderDxfId="184" headerRowCellStyle="Normale 2" dataCellStyle="Normale 2">
  <autoFilter ref="A2:N15" xr:uid="{EA4C31D0-2E8C-4853-8E81-13D2B400BBE9}"/>
  <tableColumns count="14">
    <tableColumn id="1" xr3:uid="{E2DC435D-84C9-4894-BEE8-79FAD1410137}" name="Sigla" dataDxfId="183" dataCellStyle="Normale 2"/>
    <tableColumn id="2" xr3:uid="{B6D37F41-D444-49CA-B5D5-A8AB877C82E0}" name="FAMIGLIE" dataDxfId="182" dataCellStyle="Normale 2"/>
    <tableColumn id="3" xr3:uid="{16B842C9-D43D-4279-BC9C-A7A5763757FC}" name="2014" dataDxfId="181" dataCellStyle="Normale 2"/>
    <tableColumn id="4" xr3:uid="{C3A5A531-6BDE-4107-B84A-CCE85B205EC0}" name="2015" dataDxfId="180" dataCellStyle="Normale 2"/>
    <tableColumn id="5" xr3:uid="{F4A11653-CA90-4E44-B9BD-B4A1B5456878}" name="2016" dataDxfId="179" dataCellStyle="Normale 2"/>
    <tableColumn id="6" xr3:uid="{FADB7E94-5099-485D-B8C2-0A26481369C1}" name="2017" dataDxfId="178" dataCellStyle="Normale 2"/>
    <tableColumn id="7" xr3:uid="{EE0BAD89-B168-4A30-B514-3E9A1FCADF6F}" name="2018" dataDxfId="177" dataCellStyle="Normale 2"/>
    <tableColumn id="8" xr3:uid="{3D915597-4BF0-4BF3-8F3A-F7F66B79A1FE}" name="2019" dataDxfId="176" dataCellStyle="Normale 2"/>
    <tableColumn id="9" xr3:uid="{83D5B1A4-70B3-4D48-B932-FD763E4F86F7}" name="2020" dataDxfId="175" dataCellStyle="Normale 2"/>
    <tableColumn id="10" xr3:uid="{050BB1D5-BC74-4F30-9245-172EAB0324A7}" name="2021" dataDxfId="174" dataCellStyle="Normale 2"/>
    <tableColumn id="11" xr3:uid="{215919BC-3EC8-44A9-8FAA-064C9E98FA37}" name="2022" dataDxfId="173" dataCellStyle="Normale 2"/>
    <tableColumn id="12" xr3:uid="{E8D263D8-465B-4E18-AE20-7B7DDFEC9976}" name="2023" dataDxfId="172" dataCellStyle="Normale 2"/>
    <tableColumn id="13" xr3:uid="{E15CAEC9-0574-4C35-B833-49B4560925D5}" name="2024" dataDxfId="171" dataCellStyle="Normale 2"/>
    <tableColumn id="14" xr3:uid="{E37EC4A7-BACE-483F-9070-FD105A168EE4}" name="2025" dataDxfId="89" dataCellStyle="Normale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831DD5-95DF-4965-ACBA-E1655A0467A9}" name="Tabella7" displayName="Tabella7" ref="A3:I7" totalsRowShown="0" headerRowDxfId="170" headerRowCellStyle="Normale 2">
  <autoFilter ref="A3:I7" xr:uid="{C9831DD5-95DF-4965-ACBA-E1655A0467A9}"/>
  <tableColumns count="9">
    <tableColumn id="1" xr3:uid="{BFDC8D59-796B-46FF-9A21-5D062738924C}" name="Anno" dataCellStyle="Normale 2"/>
    <tableColumn id="2" xr3:uid="{ED3134F2-D2CB-41A2-B314-79A5CBADF26D}" name="U.M." dataCellStyle="Normale 2"/>
    <tableColumn id="3" xr3:uid="{125DE4B7-F92C-4236-8E36-EFDF7FEC5D6B}" name="2019"/>
    <tableColumn id="4" xr3:uid="{83193D12-0F36-4571-9E86-7B5B6F941B29}" name="2020"/>
    <tableColumn id="5" xr3:uid="{088A5472-66E3-4618-9773-84128BB5588E}" name="2021"/>
    <tableColumn id="6" xr3:uid="{9C40DD80-709E-4616-92A2-7D975AFA7876}" name="2022"/>
    <tableColumn id="7" xr3:uid="{6D5AEBF2-2792-40CD-A12D-11AF1F71A16D}" name="2023"/>
    <tableColumn id="8" xr3:uid="{3B078936-8A5D-4CBC-BF3D-E396AE468CB1}" name="2024" dataCellStyle="Normale 2"/>
    <tableColumn id="9" xr3:uid="{275989DF-23C6-47AB-B2B2-4BD6A2776267}" name="2025" dataCellStyle="Normale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8F8E646-C43E-4F3E-949B-5AD394A999C8}" name="Tab_Attingimento_Idrico" displayName="Tab_Attingimento_Idrico" ref="D4:P18" totalsRowShown="0" headerRowDxfId="169" headerRowBorderDxfId="168" tableBorderDxfId="167">
  <autoFilter ref="D4:P18" xr:uid="{08F8E646-C43E-4F3E-949B-5AD394A999C8}"/>
  <tableColumns count="13">
    <tableColumn id="1" xr3:uid="{8E04D832-A6D6-4FD3-BF02-8C7AC6400904}" name="Codifica interna" dataDxfId="166"/>
    <tableColumn id="14" xr3:uid="{C0881058-3ACE-498E-B0D0-49A2B9A8C3E4}" name="2014"/>
    <tableColumn id="15" xr3:uid="{EA264419-21FD-45D5-99DC-361178515B2D}" name="2015"/>
    <tableColumn id="16" xr3:uid="{686CF44E-2905-41C5-8567-AB30722BF8DF}" name="2016"/>
    <tableColumn id="17" xr3:uid="{63D11121-DC2D-410A-9C84-53CBB49DF2E4}" name="2017"/>
    <tableColumn id="18" xr3:uid="{D83C14FA-34A3-4782-B789-5223F73AF9BF}" name="2018"/>
    <tableColumn id="19" xr3:uid="{F5823B02-B222-42F7-A766-19819CB208DB}" name="2019"/>
    <tableColumn id="20" xr3:uid="{2097C710-EB48-4C7A-B9F8-C93105B2D6AF}" name="2020"/>
    <tableColumn id="21" xr3:uid="{3B2EBE96-072F-4F58-9AAA-06CAE5F386CB}" name="2021"/>
    <tableColumn id="22" xr3:uid="{5A1CBCB4-EB80-40EF-B605-A1A1F861DA57}" name="2022"/>
    <tableColumn id="23" xr3:uid="{A27C1605-F47C-4007-A83F-6A9AFF8F3AB0}" name="2023"/>
    <tableColumn id="24" xr3:uid="{6F669DC2-AD74-47C9-87B6-0099B501350C}" name="2024"/>
    <tableColumn id="2" xr3:uid="{93775423-F38A-4EE0-BBAD-813915E313F4}" name="20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DAD2CB9-CAC4-45D9-9693-8A1B5E9E7987}" name="Tabella10" displayName="Tabella10" ref="A39:P41" totalsRowShown="0" headerRowDxfId="165" dataDxfId="164">
  <autoFilter ref="A39:P41" xr:uid="{CDAD2CB9-CAC4-45D9-9693-8A1B5E9E7987}"/>
  <tableColumns count="16">
    <tableColumn id="1" xr3:uid="{E8E76D55-9384-4638-99CB-6D8C3F830AE2}" name="Tipologia di approvvigionamento (Pozzo, acquedotto, ecc)" dataDxfId="163"/>
    <tableColumn id="2" xr3:uid="{A767F41B-5F0A-45A5-9B9E-7B5F0363711C}" name="Fase di utilizzo " dataDxfId="162"/>
    <tableColumn id="3" xr3:uid="{A1116460-34D7-42AB-8152-494FB7ABB469}" name="Tipologia (industriale, civile, raffreddamento, ecc.)" dataDxfId="161"/>
    <tableColumn id="4" xr3:uid="{51A69F1E-1C30-49C4-8CE5-46BF34077CF7}" name="Punto di misura" dataDxfId="160"/>
    <tableColumn id="6" xr3:uid="{7AE34B39-DE0D-4D1D-96A4-8D633F5DBA98}" name="2014" dataDxfId="159"/>
    <tableColumn id="7" xr3:uid="{E0F396EC-FF0D-4278-B98F-C2B53CADDFC6}" name="2015" dataDxfId="158"/>
    <tableColumn id="8" xr3:uid="{F3EAF4BC-4AAA-45C0-952A-A17D58321EF1}" name="2016" dataDxfId="157"/>
    <tableColumn id="9" xr3:uid="{C00856C4-1D92-4844-B46F-EEF4412108EE}" name="2017" dataDxfId="156"/>
    <tableColumn id="10" xr3:uid="{E013CECA-28CA-4157-B2D9-BA4D3454866C}" name="2018" dataDxfId="155"/>
    <tableColumn id="11" xr3:uid="{71BE8A7D-B4DC-4E66-B446-26A0EDAD3DAC}" name="2019" dataDxfId="154"/>
    <tableColumn id="12" xr3:uid="{5C4B43C2-C0CD-42B8-8D4B-D570C0794C2B}" name="2020" dataDxfId="153"/>
    <tableColumn id="13" xr3:uid="{88873B8B-C95E-47F3-A3C5-93BE0925DE36}" name="2021" dataDxfId="152"/>
    <tableColumn id="14" xr3:uid="{8C7CD417-7508-42EB-B070-F6589CBE8660}" name="2022" dataDxfId="151"/>
    <tableColumn id="15" xr3:uid="{A622E1B8-3FA4-4BDC-BC7F-72517E2A7252}" name="2023" dataDxfId="150"/>
    <tableColumn id="16" xr3:uid="{B7CD3CE4-2AB4-4AA5-936B-9BA9C8808B68}" name="2024" dataDxfId="149"/>
    <tableColumn id="5" xr3:uid="{D1A4D7D7-42D0-47FA-9394-FFABC84D6B0E}" name="2025" dataDxfId="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03D36E2-1407-4438-9F87-A4E2C9A74F6F}" name="Tabella13" displayName="Tabella13" ref="B4:I10" totalsRowShown="0" headerRowDxfId="148" tableBorderDxfId="147">
  <autoFilter ref="B4:I10" xr:uid="{F03D36E2-1407-4438-9F87-A4E2C9A74F6F}"/>
  <tableColumns count="8">
    <tableColumn id="1" xr3:uid="{FE9E7AEE-60B1-49AB-AB74-0CFAF74AF266}" name="Risorsa energetica" dataDxfId="146"/>
    <tableColumn id="2" xr3:uid="{4026C86D-B055-4937-A467-0E1AA3FE5945}" name="Unità di misura" dataDxfId="145"/>
    <tableColumn id="3" xr3:uid="{238352D9-A5A5-4268-B29F-082EC93FD050}" name="2020" dataDxfId="144"/>
    <tableColumn id="4" xr3:uid="{745033E6-4025-4E92-A981-8C0294245998}" name="2021" dataDxfId="143"/>
    <tableColumn id="5" xr3:uid="{2EE6E6EC-E2A4-4C5E-9F41-66FDA4BF2833}" name="2022"/>
    <tableColumn id="6" xr3:uid="{66C17CFF-D4DF-42D2-8CDE-C51FA9763ACE}" name="2023"/>
    <tableColumn id="7" xr3:uid="{D50DA06D-200C-49DB-AEC7-FAD8B03ADC1A}" name="2024"/>
    <tableColumn id="8" xr3:uid="{EC3B0709-24F2-4D55-B211-B4C459D399C6}" name="2025" dataDxfId="8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hyperlink" Target="../../../../../DOCUMENTI%20INTEGRATI%20QAS/MODULI/MA/2%20-%20EMISSIONI%20IN%20ATMOSFERA/MA76.1%20-%20Registrazioni%20Collaudi%20Emissioni%20ed.3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hyperlink" Target="../../../../../DOCUMENTI%20INTEGRATI%20QAS/MODULI/MA/4%20-%20SCARICHI%20E%20BACINI/MA076.2%20-%20Registrazione%20Collaudi%20scarichi%20idrici%20-%20ed.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8871-83FD-4FAE-95DC-B5E81437A0D4}">
  <sheetPr>
    <tabColor rgb="FF00B050"/>
  </sheetPr>
  <dimension ref="A1:A15"/>
  <sheetViews>
    <sheetView workbookViewId="0">
      <selection activeCell="A16" sqref="A16"/>
    </sheetView>
  </sheetViews>
  <sheetFormatPr defaultRowHeight="15" x14ac:dyDescent="0.25"/>
  <cols>
    <col min="1" max="1" width="84.42578125" style="154" customWidth="1"/>
  </cols>
  <sheetData>
    <row r="1" spans="1:1" x14ac:dyDescent="0.25">
      <c r="A1" s="152"/>
    </row>
    <row r="2" spans="1:1" x14ac:dyDescent="0.25">
      <c r="A2" s="152"/>
    </row>
    <row r="3" spans="1:1" ht="82.5" customHeight="1" x14ac:dyDescent="0.25">
      <c r="A3" s="155" t="e" vm="1">
        <v>#VALUE!</v>
      </c>
    </row>
    <row r="4" spans="1:1" x14ac:dyDescent="0.25">
      <c r="A4" s="152"/>
    </row>
    <row r="5" spans="1:1" x14ac:dyDescent="0.25">
      <c r="A5" s="152"/>
    </row>
    <row r="6" spans="1:1" x14ac:dyDescent="0.25">
      <c r="A6" s="152" t="s">
        <v>444</v>
      </c>
    </row>
    <row r="7" spans="1:1" x14ac:dyDescent="0.25">
      <c r="A7" s="153" t="s">
        <v>446</v>
      </c>
    </row>
    <row r="8" spans="1:1" x14ac:dyDescent="0.25">
      <c r="A8" s="153" t="s">
        <v>445</v>
      </c>
    </row>
    <row r="9" spans="1:1" x14ac:dyDescent="0.25">
      <c r="A9" s="153" t="s">
        <v>447</v>
      </c>
    </row>
    <row r="10" spans="1:1" x14ac:dyDescent="0.25">
      <c r="A10" s="152"/>
    </row>
    <row r="11" spans="1:1" ht="30" x14ac:dyDescent="0.25">
      <c r="A11" s="152" t="s">
        <v>448</v>
      </c>
    </row>
    <row r="12" spans="1:1" ht="45" x14ac:dyDescent="0.25">
      <c r="A12" s="152" t="s">
        <v>449</v>
      </c>
    </row>
    <row r="13" spans="1:1" x14ac:dyDescent="0.25">
      <c r="A13" s="152"/>
    </row>
    <row r="14" spans="1:1" x14ac:dyDescent="0.25">
      <c r="A14" s="152"/>
    </row>
    <row r="15" spans="1:1" x14ac:dyDescent="0.25">
      <c r="A15" s="15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7369-B3C3-4B8E-B642-122EC7900CC9}">
  <sheetPr>
    <tabColor rgb="FF00B050"/>
  </sheetPr>
  <dimension ref="A1:AB82"/>
  <sheetViews>
    <sheetView tabSelected="1" zoomScaleNormal="100" workbookViewId="0">
      <pane xSplit="4" ySplit="4" topLeftCell="E10" activePane="bottomRight" state="frozen"/>
      <selection activeCell="B29" sqref="B29"/>
      <selection pane="topRight" activeCell="B29" sqref="B29"/>
      <selection pane="bottomLeft" activeCell="B29" sqref="B29"/>
      <selection pane="bottomRight" activeCell="AB76" sqref="AB76"/>
    </sheetView>
  </sheetViews>
  <sheetFormatPr defaultRowHeight="15" x14ac:dyDescent="0.25"/>
  <cols>
    <col min="1" max="1" width="11.85546875" customWidth="1"/>
    <col min="2" max="2" width="40" customWidth="1"/>
    <col min="4" max="4" width="9.5703125" bestFit="1" customWidth="1"/>
    <col min="5" max="5" width="9.85546875" hidden="1" customWidth="1"/>
    <col min="6" max="24" width="9.5703125" hidden="1" customWidth="1"/>
    <col min="25" max="25" width="9.5703125" bestFit="1" customWidth="1"/>
  </cols>
  <sheetData>
    <row r="1" spans="1:28" x14ac:dyDescent="0.25">
      <c r="A1" s="4" t="s">
        <v>411</v>
      </c>
      <c r="B1" s="4" t="s">
        <v>412</v>
      </c>
    </row>
    <row r="4" spans="1:28" x14ac:dyDescent="0.25">
      <c r="A4" s="73" t="s">
        <v>388</v>
      </c>
      <c r="B4" s="73" t="s">
        <v>286</v>
      </c>
      <c r="C4" s="1" t="s">
        <v>287</v>
      </c>
      <c r="D4" s="1" t="s">
        <v>385</v>
      </c>
      <c r="E4" s="1" t="s">
        <v>64</v>
      </c>
      <c r="F4" s="1" t="s">
        <v>65</v>
      </c>
      <c r="G4" s="1" t="s">
        <v>66</v>
      </c>
      <c r="H4" s="1" t="s">
        <v>67</v>
      </c>
      <c r="I4" s="1" t="s">
        <v>68</v>
      </c>
      <c r="J4" s="1" t="s">
        <v>69</v>
      </c>
      <c r="K4" s="1" t="s">
        <v>70</v>
      </c>
      <c r="L4" s="1" t="s">
        <v>71</v>
      </c>
      <c r="M4" s="1" t="s">
        <v>72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77</v>
      </c>
      <c r="S4" s="1" t="s">
        <v>78</v>
      </c>
      <c r="T4" s="1" t="s">
        <v>79</v>
      </c>
      <c r="U4" s="1" t="s">
        <v>80</v>
      </c>
      <c r="V4" s="1" t="s">
        <v>81</v>
      </c>
      <c r="W4" s="1" t="s">
        <v>82</v>
      </c>
      <c r="X4" s="1" t="s">
        <v>83</v>
      </c>
      <c r="Y4" s="1" t="s">
        <v>24</v>
      </c>
      <c r="Z4" s="1" t="s">
        <v>10</v>
      </c>
      <c r="AA4" s="73" t="s">
        <v>11</v>
      </c>
      <c r="AB4" s="73" t="s">
        <v>458</v>
      </c>
    </row>
    <row r="5" spans="1:28" ht="30" x14ac:dyDescent="0.25">
      <c r="A5" s="71" t="s">
        <v>132</v>
      </c>
      <c r="B5" s="104" t="s">
        <v>288</v>
      </c>
      <c r="C5" s="1" t="s">
        <v>289</v>
      </c>
      <c r="D5" s="1" t="s">
        <v>387</v>
      </c>
      <c r="E5" s="2">
        <v>32520</v>
      </c>
      <c r="F5" s="2">
        <v>48270</v>
      </c>
      <c r="G5" s="2">
        <v>58510</v>
      </c>
      <c r="H5" s="2">
        <v>34870</v>
      </c>
      <c r="I5" s="2">
        <v>28740</v>
      </c>
      <c r="J5" s="2">
        <v>29650</v>
      </c>
      <c r="K5" s="2">
        <v>15310</v>
      </c>
      <c r="L5" s="2">
        <v>7950</v>
      </c>
      <c r="M5" s="2">
        <v>10960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ht="30" x14ac:dyDescent="0.25">
      <c r="A6" s="71" t="s">
        <v>132</v>
      </c>
      <c r="B6" s="104" t="s">
        <v>317</v>
      </c>
      <c r="C6" s="132" t="s">
        <v>318</v>
      </c>
      <c r="D6" s="1" t="s">
        <v>386</v>
      </c>
      <c r="E6" s="2">
        <v>152275</v>
      </c>
      <c r="F6" s="2">
        <v>118036</v>
      </c>
      <c r="G6" s="2">
        <v>57880</v>
      </c>
      <c r="H6" s="2">
        <v>100700</v>
      </c>
      <c r="I6" s="2">
        <v>187310</v>
      </c>
      <c r="J6" s="2">
        <v>538630</v>
      </c>
      <c r="K6" s="2">
        <v>460350</v>
      </c>
      <c r="L6" s="2">
        <v>220830</v>
      </c>
      <c r="M6" s="2">
        <v>449930</v>
      </c>
      <c r="N6" s="2">
        <v>513300</v>
      </c>
      <c r="O6" s="2">
        <v>451230</v>
      </c>
      <c r="P6" s="2">
        <v>509620</v>
      </c>
      <c r="Q6" s="2">
        <v>555300</v>
      </c>
      <c r="R6" s="2">
        <v>473010</v>
      </c>
      <c r="S6" s="2">
        <v>445300</v>
      </c>
      <c r="T6" s="2">
        <v>455530</v>
      </c>
      <c r="U6" s="2">
        <v>553430</v>
      </c>
      <c r="V6" s="2">
        <v>456140</v>
      </c>
      <c r="W6" s="2">
        <v>358410</v>
      </c>
      <c r="X6" s="2">
        <v>483950</v>
      </c>
      <c r="Y6" s="2">
        <v>377610</v>
      </c>
      <c r="Z6" s="2">
        <v>234710</v>
      </c>
      <c r="AA6" s="2">
        <v>477540</v>
      </c>
      <c r="AB6" s="2">
        <v>428590</v>
      </c>
    </row>
    <row r="7" spans="1:28" ht="30" x14ac:dyDescent="0.25">
      <c r="A7" s="71" t="s">
        <v>132</v>
      </c>
      <c r="B7" s="104" t="s">
        <v>319</v>
      </c>
      <c r="C7" s="102" t="s">
        <v>320</v>
      </c>
      <c r="D7" s="1" t="s">
        <v>386</v>
      </c>
      <c r="E7" s="2">
        <v>0</v>
      </c>
      <c r="F7" s="2">
        <v>7110</v>
      </c>
      <c r="G7" s="2">
        <v>6362</v>
      </c>
      <c r="H7" s="2">
        <v>6250</v>
      </c>
      <c r="I7" s="2">
        <v>6095</v>
      </c>
      <c r="J7" s="2">
        <v>6840</v>
      </c>
      <c r="K7" s="2">
        <v>8500</v>
      </c>
      <c r="L7" s="2">
        <v>4700</v>
      </c>
      <c r="M7" s="2">
        <v>10030</v>
      </c>
      <c r="N7" s="2">
        <v>8955</v>
      </c>
      <c r="O7" s="2">
        <v>8210</v>
      </c>
      <c r="P7" s="2">
        <v>8315</v>
      </c>
      <c r="Q7" s="2">
        <v>12925</v>
      </c>
      <c r="R7" s="2">
        <v>17354</v>
      </c>
      <c r="S7" s="2">
        <v>21320</v>
      </c>
      <c r="T7" s="2">
        <v>23085</v>
      </c>
      <c r="U7" s="2">
        <v>26745</v>
      </c>
      <c r="V7" s="2">
        <v>20430</v>
      </c>
      <c r="W7" s="2">
        <v>19630</v>
      </c>
      <c r="X7" s="2">
        <v>8835</v>
      </c>
      <c r="Y7" s="2">
        <v>4095</v>
      </c>
      <c r="Z7" s="2">
        <v>2895</v>
      </c>
      <c r="AA7" s="2">
        <v>3610</v>
      </c>
      <c r="AB7" s="2">
        <v>1660</v>
      </c>
    </row>
    <row r="8" spans="1:28" ht="30" x14ac:dyDescent="0.25">
      <c r="A8" s="71" t="s">
        <v>132</v>
      </c>
      <c r="B8" s="104" t="s">
        <v>290</v>
      </c>
      <c r="C8" s="1" t="s">
        <v>291</v>
      </c>
      <c r="D8" s="1" t="s">
        <v>387</v>
      </c>
      <c r="E8" s="2">
        <v>16703</v>
      </c>
      <c r="F8" s="2">
        <v>73254</v>
      </c>
      <c r="G8" s="2">
        <v>74917</v>
      </c>
      <c r="H8" s="2">
        <v>75402</v>
      </c>
      <c r="I8" s="2">
        <v>51660</v>
      </c>
      <c r="J8" s="2">
        <v>15640</v>
      </c>
      <c r="K8" s="2">
        <v>36960</v>
      </c>
      <c r="L8" s="2">
        <v>106497</v>
      </c>
      <c r="M8" s="2">
        <v>88709</v>
      </c>
      <c r="N8" s="2">
        <v>128944</v>
      </c>
      <c r="O8" s="2">
        <v>103087</v>
      </c>
      <c r="P8" s="2">
        <v>64154</v>
      </c>
      <c r="Q8" s="2">
        <v>99097</v>
      </c>
      <c r="R8" s="2">
        <v>112218</v>
      </c>
      <c r="S8" s="2">
        <v>117740</v>
      </c>
      <c r="T8" s="2">
        <v>125523</v>
      </c>
      <c r="U8" s="2">
        <v>154265</v>
      </c>
      <c r="V8" s="2">
        <v>166775</v>
      </c>
      <c r="W8" s="2">
        <v>186090</v>
      </c>
      <c r="X8" s="2">
        <v>123122</v>
      </c>
      <c r="Y8" s="2">
        <v>136042</v>
      </c>
      <c r="Z8" s="2">
        <v>196283</v>
      </c>
      <c r="AA8" s="2">
        <v>269608</v>
      </c>
      <c r="AB8" s="2">
        <v>162240</v>
      </c>
    </row>
    <row r="9" spans="1:28" ht="30" x14ac:dyDescent="0.25">
      <c r="A9" s="71" t="s">
        <v>132</v>
      </c>
      <c r="B9" s="104" t="s">
        <v>292</v>
      </c>
      <c r="C9" s="1" t="s">
        <v>293</v>
      </c>
      <c r="D9" s="1" t="s">
        <v>387</v>
      </c>
      <c r="E9" s="2">
        <v>441980</v>
      </c>
      <c r="F9" s="2">
        <v>431290</v>
      </c>
      <c r="G9" s="2">
        <v>528990</v>
      </c>
      <c r="H9" s="2">
        <v>329000</v>
      </c>
      <c r="I9" s="2">
        <v>252150</v>
      </c>
      <c r="J9" s="2">
        <v>252380</v>
      </c>
      <c r="K9" s="2">
        <v>260690</v>
      </c>
      <c r="L9" s="2">
        <v>170570</v>
      </c>
      <c r="M9" s="2">
        <v>225690</v>
      </c>
      <c r="N9" s="2">
        <v>258940</v>
      </c>
      <c r="O9" s="2">
        <v>272100</v>
      </c>
      <c r="P9" s="2">
        <v>372440</v>
      </c>
      <c r="Q9" s="2">
        <v>615120</v>
      </c>
      <c r="R9" s="2">
        <v>860100</v>
      </c>
      <c r="S9" s="2">
        <v>592740</v>
      </c>
      <c r="T9" s="2">
        <v>622680</v>
      </c>
      <c r="U9" s="2">
        <v>645110</v>
      </c>
      <c r="V9" s="2">
        <v>650630</v>
      </c>
      <c r="W9" s="2">
        <v>589410</v>
      </c>
      <c r="X9" s="2">
        <v>662050</v>
      </c>
      <c r="Y9" s="2">
        <v>679150</v>
      </c>
      <c r="Z9" s="2">
        <v>555420</v>
      </c>
      <c r="AA9" s="2">
        <v>565630</v>
      </c>
      <c r="AB9" s="2">
        <v>578830</v>
      </c>
    </row>
    <row r="10" spans="1:28" ht="30" x14ac:dyDescent="0.25">
      <c r="A10" s="71" t="s">
        <v>132</v>
      </c>
      <c r="B10" s="104" t="s">
        <v>321</v>
      </c>
      <c r="C10" s="102" t="s">
        <v>322</v>
      </c>
      <c r="D10" s="1" t="s">
        <v>386</v>
      </c>
      <c r="E10" s="2">
        <v>0</v>
      </c>
      <c r="F10" s="2">
        <v>277</v>
      </c>
      <c r="G10" s="2">
        <v>4369</v>
      </c>
      <c r="H10" s="2">
        <v>5840</v>
      </c>
      <c r="I10" s="2">
        <v>14475</v>
      </c>
      <c r="J10" s="2">
        <v>19821</v>
      </c>
      <c r="K10" s="2">
        <v>22050</v>
      </c>
      <c r="L10" s="2">
        <v>16380</v>
      </c>
      <c r="M10" s="2">
        <v>25050</v>
      </c>
      <c r="N10" s="2">
        <v>32249</v>
      </c>
      <c r="O10" s="2">
        <v>31571</v>
      </c>
      <c r="P10" s="2">
        <v>29607</v>
      </c>
      <c r="Q10" s="2">
        <v>40520</v>
      </c>
      <c r="R10" s="2">
        <v>53681</v>
      </c>
      <c r="S10" s="2">
        <v>45480</v>
      </c>
      <c r="T10" s="2">
        <v>54242</v>
      </c>
      <c r="U10" s="2">
        <v>57335</v>
      </c>
      <c r="V10" s="2">
        <v>45730</v>
      </c>
      <c r="W10" s="2">
        <v>43265</v>
      </c>
      <c r="X10" s="2">
        <v>45100</v>
      </c>
      <c r="Y10" s="2">
        <v>27485</v>
      </c>
      <c r="Z10" s="2">
        <v>22625</v>
      </c>
      <c r="AA10" s="2">
        <v>25290</v>
      </c>
      <c r="AB10" s="2">
        <v>20200</v>
      </c>
    </row>
    <row r="11" spans="1:28" ht="45" x14ac:dyDescent="0.25">
      <c r="A11" s="71" t="s">
        <v>132</v>
      </c>
      <c r="B11" s="104" t="s">
        <v>323</v>
      </c>
      <c r="C11" s="102" t="s">
        <v>324</v>
      </c>
      <c r="D11" s="1" t="s">
        <v>386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3290</v>
      </c>
      <c r="Q11" s="2">
        <v>0</v>
      </c>
      <c r="R11" s="2">
        <v>1075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ht="30" x14ac:dyDescent="0.25">
      <c r="A12" s="71" t="s">
        <v>132</v>
      </c>
      <c r="B12" s="104" t="s">
        <v>294</v>
      </c>
      <c r="C12" s="1" t="s">
        <v>295</v>
      </c>
      <c r="D12" s="1" t="s">
        <v>387</v>
      </c>
      <c r="E12" s="2"/>
      <c r="F12" s="2"/>
      <c r="G12" s="2"/>
      <c r="H12" s="2"/>
      <c r="I12" s="2">
        <v>51</v>
      </c>
      <c r="J12" s="2">
        <v>118</v>
      </c>
      <c r="K12" s="2">
        <v>85</v>
      </c>
      <c r="L12" s="2">
        <v>160</v>
      </c>
      <c r="M12" s="2">
        <v>200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140</v>
      </c>
      <c r="Y12" s="2">
        <v>135</v>
      </c>
      <c r="Z12" s="2">
        <v>140</v>
      </c>
      <c r="AA12" s="2">
        <v>140</v>
      </c>
      <c r="AB12" s="2">
        <v>80</v>
      </c>
    </row>
    <row r="13" spans="1:28" ht="45" x14ac:dyDescent="0.25">
      <c r="A13" s="71" t="s">
        <v>132</v>
      </c>
      <c r="B13" s="104" t="s">
        <v>325</v>
      </c>
      <c r="C13" s="102" t="s">
        <v>326</v>
      </c>
      <c r="D13" s="1" t="s">
        <v>386</v>
      </c>
      <c r="E13" s="2">
        <v>1985</v>
      </c>
      <c r="F13" s="2">
        <v>6450</v>
      </c>
      <c r="G13" s="2">
        <v>11510</v>
      </c>
      <c r="H13" s="2">
        <v>116246</v>
      </c>
      <c r="I13" s="2">
        <v>128567</v>
      </c>
      <c r="J13" s="2">
        <v>146722</v>
      </c>
      <c r="K13" s="2">
        <v>123490</v>
      </c>
      <c r="L13" s="2">
        <v>100315</v>
      </c>
      <c r="M13" s="2">
        <v>136750</v>
      </c>
      <c r="N13" s="2">
        <v>122295</v>
      </c>
      <c r="O13" s="2">
        <v>152195</v>
      </c>
      <c r="P13" s="2">
        <v>166935</v>
      </c>
      <c r="Q13" s="2">
        <v>185765</v>
      </c>
      <c r="R13" s="2">
        <v>199760</v>
      </c>
      <c r="S13" s="2">
        <v>159535</v>
      </c>
      <c r="T13" s="2">
        <v>141985</v>
      </c>
      <c r="U13" s="2">
        <v>130560</v>
      </c>
      <c r="V13" s="2">
        <v>141720</v>
      </c>
      <c r="W13" s="2">
        <v>138890</v>
      </c>
      <c r="X13" s="2">
        <v>169544</v>
      </c>
      <c r="Y13" s="2">
        <v>124750</v>
      </c>
      <c r="Z13" s="2">
        <v>112385</v>
      </c>
      <c r="AA13" s="2">
        <v>112340</v>
      </c>
      <c r="AB13" s="2">
        <v>110040</v>
      </c>
    </row>
    <row r="14" spans="1:28" ht="45" x14ac:dyDescent="0.25">
      <c r="A14" s="71" t="s">
        <v>132</v>
      </c>
      <c r="B14" s="104" t="s">
        <v>327</v>
      </c>
      <c r="C14" s="102" t="s">
        <v>328</v>
      </c>
      <c r="D14" s="1" t="s">
        <v>386</v>
      </c>
      <c r="E14" s="2">
        <v>656</v>
      </c>
      <c r="F14" s="2">
        <v>614</v>
      </c>
      <c r="G14" s="2">
        <v>876</v>
      </c>
      <c r="H14" s="2">
        <v>160</v>
      </c>
      <c r="I14" s="2">
        <v>380</v>
      </c>
      <c r="J14" s="2">
        <v>0</v>
      </c>
      <c r="K14" s="2">
        <v>940</v>
      </c>
      <c r="L14" s="2">
        <v>0</v>
      </c>
      <c r="M14" s="2">
        <v>0</v>
      </c>
      <c r="N14" s="2">
        <v>0</v>
      </c>
      <c r="O14" s="2">
        <v>470</v>
      </c>
      <c r="P14" s="2">
        <v>620</v>
      </c>
      <c r="Q14" s="2">
        <v>520</v>
      </c>
      <c r="R14" s="2">
        <v>0</v>
      </c>
      <c r="S14" s="2">
        <v>110</v>
      </c>
      <c r="T14" s="2">
        <v>300</v>
      </c>
      <c r="U14" s="2">
        <v>850</v>
      </c>
      <c r="V14" s="2">
        <v>3640</v>
      </c>
      <c r="W14" s="2">
        <v>4480</v>
      </c>
      <c r="X14" s="2">
        <v>2120</v>
      </c>
      <c r="Y14" s="2">
        <v>2010</v>
      </c>
      <c r="Z14" s="2">
        <v>2355</v>
      </c>
      <c r="AA14" s="2">
        <v>3420</v>
      </c>
      <c r="AB14" s="2">
        <v>4210</v>
      </c>
    </row>
    <row r="15" spans="1:28" ht="30" x14ac:dyDescent="0.25">
      <c r="A15" s="71" t="s">
        <v>132</v>
      </c>
      <c r="B15" s="104" t="s">
        <v>296</v>
      </c>
      <c r="C15" s="102" t="s">
        <v>366</v>
      </c>
      <c r="D15" s="1" t="s">
        <v>387</v>
      </c>
      <c r="E15" s="2">
        <v>17219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686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ht="45" x14ac:dyDescent="0.25">
      <c r="A16" s="71" t="s">
        <v>132</v>
      </c>
      <c r="B16" s="104" t="s">
        <v>329</v>
      </c>
      <c r="C16" s="102" t="s">
        <v>330</v>
      </c>
      <c r="D16" s="1" t="s">
        <v>386</v>
      </c>
      <c r="E16" s="2">
        <v>1181</v>
      </c>
      <c r="F16" s="2">
        <v>699</v>
      </c>
      <c r="G16" s="2">
        <v>1305</v>
      </c>
      <c r="H16" s="2">
        <v>1460</v>
      </c>
      <c r="I16" s="2">
        <v>1468</v>
      </c>
      <c r="J16" s="2">
        <v>4244</v>
      </c>
      <c r="K16" s="2">
        <v>1270</v>
      </c>
      <c r="L16" s="2">
        <v>1105</v>
      </c>
      <c r="M16" s="2">
        <v>7799</v>
      </c>
      <c r="N16" s="2">
        <v>1652</v>
      </c>
      <c r="O16" s="2">
        <v>13643</v>
      </c>
      <c r="P16" s="2">
        <v>1135</v>
      </c>
      <c r="Q16" s="2">
        <v>3830</v>
      </c>
      <c r="R16" s="2">
        <v>1367</v>
      </c>
      <c r="S16" s="2">
        <v>1790</v>
      </c>
      <c r="T16" s="2">
        <v>2507</v>
      </c>
      <c r="U16" s="2">
        <v>2010</v>
      </c>
      <c r="V16" s="2">
        <v>2950</v>
      </c>
      <c r="W16" s="2">
        <v>2310</v>
      </c>
      <c r="X16" s="2">
        <v>2815</v>
      </c>
      <c r="Y16" s="2">
        <v>5975</v>
      </c>
      <c r="Z16" s="2">
        <v>2205</v>
      </c>
      <c r="AA16" s="2">
        <v>1820</v>
      </c>
      <c r="AB16" s="2">
        <v>1800</v>
      </c>
    </row>
    <row r="17" spans="1:28" ht="30" x14ac:dyDescent="0.25">
      <c r="A17" s="71" t="s">
        <v>132</v>
      </c>
      <c r="B17" s="104" t="s">
        <v>331</v>
      </c>
      <c r="C17" s="102" t="s">
        <v>332</v>
      </c>
      <c r="D17" s="1" t="s">
        <v>386</v>
      </c>
      <c r="E17" s="2">
        <v>0</v>
      </c>
      <c r="F17" s="2">
        <v>0</v>
      </c>
      <c r="G17" s="2">
        <v>0</v>
      </c>
      <c r="H17" s="2">
        <v>7600</v>
      </c>
      <c r="I17" s="2">
        <v>10140</v>
      </c>
      <c r="J17" s="2">
        <v>4760</v>
      </c>
      <c r="K17" s="2">
        <v>7620</v>
      </c>
      <c r="L17" s="2">
        <v>8480</v>
      </c>
      <c r="M17" s="2">
        <v>18990</v>
      </c>
      <c r="N17" s="2">
        <v>0</v>
      </c>
      <c r="O17" s="2">
        <v>4770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/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ht="30" x14ac:dyDescent="0.25">
      <c r="A18" s="71" t="s">
        <v>132</v>
      </c>
      <c r="B18" s="104" t="s">
        <v>333</v>
      </c>
      <c r="C18" s="102" t="s">
        <v>334</v>
      </c>
      <c r="D18" s="1" t="s">
        <v>386</v>
      </c>
      <c r="E18" s="2">
        <v>3580</v>
      </c>
      <c r="F18" s="2">
        <v>1564</v>
      </c>
      <c r="G18" s="2">
        <v>6948</v>
      </c>
      <c r="H18" s="2">
        <v>8760</v>
      </c>
      <c r="I18" s="2">
        <v>11976</v>
      </c>
      <c r="J18" s="2">
        <v>10085</v>
      </c>
      <c r="K18" s="2">
        <v>10235</v>
      </c>
      <c r="L18" s="2">
        <v>4790</v>
      </c>
      <c r="M18" s="2">
        <v>2394</v>
      </c>
      <c r="N18" s="2">
        <v>3535</v>
      </c>
      <c r="O18" s="2">
        <v>5092</v>
      </c>
      <c r="P18" s="2">
        <v>4655</v>
      </c>
      <c r="Q18" s="2">
        <v>10665</v>
      </c>
      <c r="R18" s="2">
        <v>11113</v>
      </c>
      <c r="S18" s="2">
        <v>6085</v>
      </c>
      <c r="T18" s="2">
        <v>7630</v>
      </c>
      <c r="U18" s="2">
        <v>7625</v>
      </c>
      <c r="V18" s="2">
        <v>7300</v>
      </c>
      <c r="W18" s="2">
        <v>8365</v>
      </c>
      <c r="X18" s="2">
        <v>7295</v>
      </c>
      <c r="Y18" s="2">
        <v>1730</v>
      </c>
      <c r="Z18" s="2">
        <v>4655</v>
      </c>
      <c r="AA18" s="2">
        <v>15680</v>
      </c>
      <c r="AB18" s="2">
        <v>7890</v>
      </c>
    </row>
    <row r="19" spans="1:28" ht="30" x14ac:dyDescent="0.25">
      <c r="A19" s="71" t="s">
        <v>132</v>
      </c>
      <c r="B19" s="104" t="s">
        <v>292</v>
      </c>
      <c r="C19" s="102" t="s">
        <v>335</v>
      </c>
      <c r="D19" s="1" t="s">
        <v>386</v>
      </c>
      <c r="E19" s="2">
        <v>5823</v>
      </c>
      <c r="F19" s="2">
        <v>0</v>
      </c>
      <c r="G19" s="2">
        <v>0</v>
      </c>
      <c r="H19" s="2">
        <v>0</v>
      </c>
      <c r="I19" s="2"/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ht="30" x14ac:dyDescent="0.25">
      <c r="A20" s="71" t="s">
        <v>132</v>
      </c>
      <c r="B20" s="104" t="s">
        <v>336</v>
      </c>
      <c r="C20" s="102" t="s">
        <v>337</v>
      </c>
      <c r="D20" s="1" t="s">
        <v>386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570</v>
      </c>
      <c r="Z20" s="2">
        <v>180</v>
      </c>
      <c r="AA20" s="2">
        <v>160</v>
      </c>
      <c r="AB20" s="2">
        <v>90</v>
      </c>
    </row>
    <row r="21" spans="1:28" ht="30" x14ac:dyDescent="0.25">
      <c r="A21" s="71" t="s">
        <v>132</v>
      </c>
      <c r="B21" s="104" t="s">
        <v>338</v>
      </c>
      <c r="C21" s="102" t="s">
        <v>339</v>
      </c>
      <c r="D21" s="1" t="s">
        <v>386</v>
      </c>
      <c r="E21" s="2">
        <v>0</v>
      </c>
      <c r="F21" s="2">
        <v>0</v>
      </c>
      <c r="G21" s="2">
        <v>40</v>
      </c>
      <c r="H21" s="2">
        <v>20</v>
      </c>
      <c r="I21" s="2">
        <v>0</v>
      </c>
      <c r="J21" s="2">
        <v>0</v>
      </c>
      <c r="K21" s="2">
        <v>25</v>
      </c>
      <c r="L21" s="2">
        <v>20</v>
      </c>
      <c r="M21" s="2">
        <v>30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ht="30" x14ac:dyDescent="0.25">
      <c r="A22" s="71" t="s">
        <v>132</v>
      </c>
      <c r="B22" s="104" t="s">
        <v>297</v>
      </c>
      <c r="C22" s="102" t="s">
        <v>367</v>
      </c>
      <c r="D22" s="1" t="s">
        <v>387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18070</v>
      </c>
      <c r="Q22" s="2">
        <v>45080</v>
      </c>
      <c r="R22" s="2">
        <v>57070</v>
      </c>
      <c r="S22" s="2">
        <v>73610</v>
      </c>
      <c r="T22" s="2">
        <v>65680</v>
      </c>
      <c r="U22" s="2">
        <v>54790</v>
      </c>
      <c r="V22" s="2">
        <v>51550</v>
      </c>
      <c r="W22" s="2">
        <v>52610</v>
      </c>
      <c r="X22" s="2">
        <v>57130</v>
      </c>
      <c r="Y22" s="2">
        <v>47865</v>
      </c>
      <c r="Z22" s="2">
        <v>51420</v>
      </c>
      <c r="AA22" s="2">
        <v>58090</v>
      </c>
      <c r="AB22" s="2">
        <v>40000</v>
      </c>
    </row>
    <row r="23" spans="1:28" ht="30" x14ac:dyDescent="0.25">
      <c r="A23" s="71" t="s">
        <v>132</v>
      </c>
      <c r="B23" s="104" t="s">
        <v>298</v>
      </c>
      <c r="C23" s="102" t="s">
        <v>368</v>
      </c>
      <c r="D23" s="1" t="s">
        <v>387</v>
      </c>
      <c r="E23" s="2">
        <v>111510</v>
      </c>
      <c r="F23" s="2">
        <v>123400</v>
      </c>
      <c r="G23" s="2">
        <v>153710</v>
      </c>
      <c r="H23" s="2">
        <v>125230</v>
      </c>
      <c r="I23" s="2">
        <v>101640</v>
      </c>
      <c r="J23" s="2">
        <v>121000</v>
      </c>
      <c r="K23" s="2">
        <v>102400</v>
      </c>
      <c r="L23" s="2">
        <v>68050</v>
      </c>
      <c r="M23" s="2">
        <v>96800</v>
      </c>
      <c r="N23" s="2">
        <v>100525</v>
      </c>
      <c r="O23" s="2">
        <v>104920</v>
      </c>
      <c r="P23" s="2">
        <v>101450</v>
      </c>
      <c r="Q23" s="2">
        <v>125380</v>
      </c>
      <c r="R23" s="2">
        <v>147350</v>
      </c>
      <c r="S23" s="2">
        <v>149950</v>
      </c>
      <c r="T23" s="2">
        <v>146640</v>
      </c>
      <c r="U23" s="2">
        <v>158130</v>
      </c>
      <c r="V23" s="2">
        <v>135310</v>
      </c>
      <c r="W23" s="2">
        <v>127360</v>
      </c>
      <c r="X23" s="2">
        <v>160730</v>
      </c>
      <c r="Y23" s="2">
        <v>161910</v>
      </c>
      <c r="Z23" s="2">
        <v>171490</v>
      </c>
      <c r="AA23" s="2">
        <v>169540</v>
      </c>
      <c r="AB23" s="2">
        <v>144600</v>
      </c>
    </row>
    <row r="24" spans="1:28" ht="30" x14ac:dyDescent="0.25">
      <c r="A24" s="71" t="s">
        <v>132</v>
      </c>
      <c r="B24" s="104" t="s">
        <v>299</v>
      </c>
      <c r="C24" s="102" t="s">
        <v>369</v>
      </c>
      <c r="D24" s="1" t="s">
        <v>387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980</v>
      </c>
      <c r="W24" s="2">
        <v>0</v>
      </c>
      <c r="X24" s="2">
        <v>0</v>
      </c>
      <c r="Y24" s="2">
        <v>8210</v>
      </c>
      <c r="Z24" s="2">
        <v>0</v>
      </c>
      <c r="AA24" s="2">
        <v>0</v>
      </c>
      <c r="AB24" s="2">
        <v>0</v>
      </c>
    </row>
    <row r="25" spans="1:28" ht="30" x14ac:dyDescent="0.25">
      <c r="A25" s="71" t="s">
        <v>132</v>
      </c>
      <c r="B25" s="104" t="s">
        <v>300</v>
      </c>
      <c r="C25" s="102" t="s">
        <v>370</v>
      </c>
      <c r="D25" s="1" t="s">
        <v>387</v>
      </c>
      <c r="E25" s="2">
        <v>17380</v>
      </c>
      <c r="F25" s="2">
        <v>15680</v>
      </c>
      <c r="G25" s="2">
        <v>16030</v>
      </c>
      <c r="H25" s="2">
        <v>9500</v>
      </c>
      <c r="I25" s="2">
        <v>9190</v>
      </c>
      <c r="J25" s="2">
        <v>11570</v>
      </c>
      <c r="K25" s="2">
        <v>7905</v>
      </c>
      <c r="L25" s="2">
        <v>1730</v>
      </c>
      <c r="M25" s="2">
        <v>7360</v>
      </c>
      <c r="N25" s="2">
        <v>18210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</row>
    <row r="26" spans="1:28" ht="30" x14ac:dyDescent="0.25">
      <c r="A26" s="71" t="s">
        <v>132</v>
      </c>
      <c r="B26" s="104" t="s">
        <v>301</v>
      </c>
      <c r="C26" s="102" t="s">
        <v>371</v>
      </c>
      <c r="D26" s="1" t="s">
        <v>387</v>
      </c>
      <c r="E26" s="2">
        <v>29850</v>
      </c>
      <c r="F26" s="2">
        <v>30800</v>
      </c>
      <c r="G26" s="2">
        <v>30324</v>
      </c>
      <c r="H26" s="2">
        <v>74910</v>
      </c>
      <c r="I26" s="2">
        <v>154850</v>
      </c>
      <c r="J26" s="2">
        <v>180670</v>
      </c>
      <c r="K26" s="2">
        <v>164490</v>
      </c>
      <c r="L26" s="2">
        <v>86500</v>
      </c>
      <c r="M26" s="2">
        <v>151390</v>
      </c>
      <c r="N26" s="2">
        <v>193165</v>
      </c>
      <c r="O26" s="2">
        <v>236930</v>
      </c>
      <c r="P26" s="2">
        <v>190570</v>
      </c>
      <c r="Q26" s="2">
        <v>25160</v>
      </c>
      <c r="R26" s="2">
        <v>32700</v>
      </c>
      <c r="S26" s="2">
        <v>51360</v>
      </c>
      <c r="T26" s="2">
        <v>56690</v>
      </c>
      <c r="U26" s="2">
        <v>46930</v>
      </c>
      <c r="V26" s="2">
        <v>48270</v>
      </c>
      <c r="W26" s="2">
        <v>76220</v>
      </c>
      <c r="X26" s="2">
        <v>46640</v>
      </c>
      <c r="Y26" s="2">
        <v>50950</v>
      </c>
      <c r="Z26" s="2">
        <v>50580</v>
      </c>
      <c r="AA26" s="2">
        <v>51750</v>
      </c>
      <c r="AB26" s="2">
        <v>49870</v>
      </c>
    </row>
    <row r="27" spans="1:28" ht="30" x14ac:dyDescent="0.25">
      <c r="A27" s="71" t="s">
        <v>132</v>
      </c>
      <c r="B27" s="104" t="s">
        <v>340</v>
      </c>
      <c r="C27" s="102" t="s">
        <v>341</v>
      </c>
      <c r="D27" s="1" t="s">
        <v>386</v>
      </c>
      <c r="E27" s="2">
        <v>0</v>
      </c>
      <c r="F27" s="2">
        <v>1780</v>
      </c>
      <c r="G27" s="2">
        <v>2810</v>
      </c>
      <c r="H27" s="2">
        <v>1821</v>
      </c>
      <c r="I27" s="2">
        <v>521</v>
      </c>
      <c r="J27" s="2">
        <v>0</v>
      </c>
      <c r="K27" s="2">
        <v>6940</v>
      </c>
      <c r="L27" s="2">
        <v>3730</v>
      </c>
      <c r="M27" s="2">
        <v>7230</v>
      </c>
      <c r="N27" s="2">
        <v>21631</v>
      </c>
      <c r="O27" s="2">
        <v>11913</v>
      </c>
      <c r="P27" s="2">
        <v>11645</v>
      </c>
      <c r="Q27" s="2">
        <v>22750</v>
      </c>
      <c r="R27" s="2">
        <v>27889</v>
      </c>
      <c r="S27" s="2">
        <v>21585</v>
      </c>
      <c r="T27" s="2">
        <v>27033</v>
      </c>
      <c r="U27" s="2">
        <v>35085</v>
      </c>
      <c r="V27" s="2">
        <v>31060</v>
      </c>
      <c r="W27" s="2">
        <v>27270</v>
      </c>
      <c r="X27" s="2">
        <v>32235</v>
      </c>
      <c r="Y27" s="2">
        <v>33320</v>
      </c>
      <c r="Z27" s="2">
        <v>26975</v>
      </c>
      <c r="AA27" s="2">
        <v>25870</v>
      </c>
      <c r="AB27" s="2">
        <v>23970</v>
      </c>
    </row>
    <row r="28" spans="1:28" ht="60" x14ac:dyDescent="0.25">
      <c r="A28" s="71" t="s">
        <v>132</v>
      </c>
      <c r="B28" s="104" t="s">
        <v>342</v>
      </c>
      <c r="C28" s="102" t="s">
        <v>343</v>
      </c>
      <c r="D28" s="1" t="s">
        <v>386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7</v>
      </c>
      <c r="V28" s="2">
        <v>10</v>
      </c>
      <c r="W28" s="2">
        <v>14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</row>
    <row r="29" spans="1:28" ht="45" x14ac:dyDescent="0.25">
      <c r="A29" s="71" t="s">
        <v>132</v>
      </c>
      <c r="B29" s="104" t="s">
        <v>344</v>
      </c>
      <c r="C29" s="102" t="s">
        <v>345</v>
      </c>
      <c r="D29" s="1" t="s">
        <v>386</v>
      </c>
      <c r="E29" s="2">
        <v>940</v>
      </c>
      <c r="F29" s="2">
        <v>842</v>
      </c>
      <c r="G29" s="2">
        <v>315</v>
      </c>
      <c r="H29" s="2">
        <v>8176</v>
      </c>
      <c r="I29" s="2">
        <v>9439</v>
      </c>
      <c r="J29" s="2">
        <v>17635</v>
      </c>
      <c r="K29" s="2">
        <v>12860</v>
      </c>
      <c r="L29" s="2">
        <v>7100</v>
      </c>
      <c r="M29" s="2">
        <v>4575</v>
      </c>
      <c r="N29" s="2">
        <v>12347</v>
      </c>
      <c r="O29" s="2">
        <v>4937</v>
      </c>
      <c r="P29" s="2">
        <v>5013</v>
      </c>
      <c r="Q29" s="2">
        <v>5155</v>
      </c>
      <c r="R29" s="2">
        <v>6762</v>
      </c>
      <c r="S29" s="2">
        <v>5050</v>
      </c>
      <c r="T29" s="2">
        <v>4440</v>
      </c>
      <c r="U29" s="2">
        <v>7260</v>
      </c>
      <c r="V29" s="2">
        <v>5360</v>
      </c>
      <c r="W29" s="2">
        <v>3240</v>
      </c>
      <c r="X29" s="2">
        <v>2885</v>
      </c>
      <c r="Y29" s="2">
        <v>11305</v>
      </c>
      <c r="Z29" s="2">
        <v>2510</v>
      </c>
      <c r="AA29" s="2">
        <v>2250</v>
      </c>
      <c r="AB29" s="2">
        <v>2260</v>
      </c>
    </row>
    <row r="30" spans="1:28" ht="30" x14ac:dyDescent="0.25">
      <c r="A30" s="71" t="s">
        <v>132</v>
      </c>
      <c r="B30" s="104" t="s">
        <v>302</v>
      </c>
      <c r="C30" s="102" t="s">
        <v>372</v>
      </c>
      <c r="D30" s="1" t="s">
        <v>387</v>
      </c>
      <c r="E30" s="2">
        <v>420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50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</row>
    <row r="31" spans="1:28" ht="30" x14ac:dyDescent="0.25">
      <c r="A31" s="71" t="s">
        <v>132</v>
      </c>
      <c r="B31" s="104" t="s">
        <v>346</v>
      </c>
      <c r="C31" s="102" t="s">
        <v>347</v>
      </c>
      <c r="D31" s="1" t="s">
        <v>386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v>1405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</row>
    <row r="32" spans="1:28" ht="30" x14ac:dyDescent="0.25">
      <c r="A32" s="71" t="s">
        <v>132</v>
      </c>
      <c r="B32" s="104" t="s">
        <v>348</v>
      </c>
      <c r="C32" s="102" t="s">
        <v>349</v>
      </c>
      <c r="D32" s="1" t="s">
        <v>386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33</v>
      </c>
      <c r="U32" s="2">
        <v>30</v>
      </c>
      <c r="V32" s="2">
        <v>0</v>
      </c>
      <c r="W32" s="2">
        <v>183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</row>
    <row r="33" spans="1:28" ht="45" x14ac:dyDescent="0.25">
      <c r="A33" s="71" t="s">
        <v>132</v>
      </c>
      <c r="B33" s="104" t="s">
        <v>350</v>
      </c>
      <c r="C33" s="102" t="s">
        <v>351</v>
      </c>
      <c r="D33" s="1" t="s">
        <v>386</v>
      </c>
      <c r="E33" s="2"/>
      <c r="F33" s="2"/>
      <c r="G33" s="2"/>
      <c r="H33" s="2"/>
      <c r="I33" s="2"/>
      <c r="J33" s="2"/>
      <c r="K33" s="2">
        <v>340</v>
      </c>
      <c r="L33" s="2">
        <v>0</v>
      </c>
      <c r="M33" s="2">
        <v>490</v>
      </c>
      <c r="N33" s="2">
        <v>0</v>
      </c>
      <c r="O33" s="2">
        <v>100</v>
      </c>
      <c r="P33" s="2">
        <v>3550</v>
      </c>
      <c r="Q33" s="2">
        <v>0</v>
      </c>
      <c r="R33" s="2">
        <v>145</v>
      </c>
      <c r="S33" s="2">
        <v>6810</v>
      </c>
      <c r="T33" s="2">
        <v>1006</v>
      </c>
      <c r="U33" s="2">
        <v>6078</v>
      </c>
      <c r="V33" s="2">
        <v>55</v>
      </c>
      <c r="W33" s="2">
        <v>947</v>
      </c>
      <c r="X33" s="2">
        <v>560</v>
      </c>
      <c r="Y33" s="2">
        <v>290</v>
      </c>
      <c r="Z33" s="2">
        <v>0</v>
      </c>
      <c r="AA33" s="2">
        <v>0</v>
      </c>
      <c r="AB33" s="2">
        <v>0</v>
      </c>
    </row>
    <row r="34" spans="1:28" ht="30" x14ac:dyDescent="0.25">
      <c r="A34" s="71" t="s">
        <v>132</v>
      </c>
      <c r="B34" s="104" t="s">
        <v>303</v>
      </c>
      <c r="C34" s="102" t="s">
        <v>373</v>
      </c>
      <c r="D34" s="1" t="s">
        <v>387</v>
      </c>
      <c r="E34" s="2">
        <v>0</v>
      </c>
      <c r="F34" s="2">
        <v>0</v>
      </c>
      <c r="G34" s="2">
        <v>25</v>
      </c>
      <c r="H34" s="2">
        <v>460</v>
      </c>
      <c r="I34" s="2">
        <v>0</v>
      </c>
      <c r="J34" s="2">
        <v>0</v>
      </c>
      <c r="K34" s="2">
        <v>710</v>
      </c>
      <c r="L34" s="2">
        <v>0</v>
      </c>
      <c r="M34" s="2">
        <v>460</v>
      </c>
      <c r="N34" s="2">
        <v>9900</v>
      </c>
      <c r="O34" s="2">
        <v>573</v>
      </c>
      <c r="P34" s="2">
        <v>1190</v>
      </c>
      <c r="Q34" s="2">
        <v>725</v>
      </c>
      <c r="R34" s="2">
        <v>2995</v>
      </c>
      <c r="S34" s="2">
        <v>2280</v>
      </c>
      <c r="T34" s="2">
        <v>1390</v>
      </c>
      <c r="U34" s="2">
        <v>4318</v>
      </c>
      <c r="V34" s="2">
        <v>16040</v>
      </c>
      <c r="W34" s="2">
        <v>735</v>
      </c>
      <c r="X34" s="2">
        <v>160</v>
      </c>
      <c r="Y34" s="2">
        <v>7960</v>
      </c>
      <c r="Z34" s="2">
        <v>3200</v>
      </c>
      <c r="AA34" s="2">
        <v>750</v>
      </c>
      <c r="AB34" s="2">
        <v>0</v>
      </c>
    </row>
    <row r="35" spans="1:28" ht="45" x14ac:dyDescent="0.25">
      <c r="A35" s="71" t="s">
        <v>132</v>
      </c>
      <c r="B35" s="104" t="s">
        <v>304</v>
      </c>
      <c r="C35" s="102" t="s">
        <v>374</v>
      </c>
      <c r="D35" s="1" t="s">
        <v>387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653</v>
      </c>
      <c r="P35" s="2">
        <v>335</v>
      </c>
      <c r="Q35" s="2">
        <v>130</v>
      </c>
      <c r="R35" s="2">
        <v>170</v>
      </c>
      <c r="S35" s="2">
        <v>150</v>
      </c>
      <c r="T35" s="2">
        <v>983</v>
      </c>
      <c r="U35" s="2">
        <v>1355</v>
      </c>
      <c r="V35" s="2">
        <v>345</v>
      </c>
      <c r="W35" s="2">
        <v>840</v>
      </c>
      <c r="X35" s="2">
        <v>840</v>
      </c>
      <c r="Y35" s="2">
        <v>1080</v>
      </c>
      <c r="Z35" s="2">
        <v>900</v>
      </c>
      <c r="AA35" s="2">
        <v>2380</v>
      </c>
      <c r="AB35" s="2">
        <v>150</v>
      </c>
    </row>
    <row r="36" spans="1:28" ht="30" x14ac:dyDescent="0.25">
      <c r="A36" s="71" t="s">
        <v>132</v>
      </c>
      <c r="B36" s="104" t="s">
        <v>352</v>
      </c>
      <c r="C36" s="102" t="s">
        <v>353</v>
      </c>
      <c r="D36" s="1" t="s">
        <v>386</v>
      </c>
      <c r="E36" s="2">
        <v>0</v>
      </c>
      <c r="F36" s="2">
        <v>4346</v>
      </c>
      <c r="G36" s="2">
        <v>1413</v>
      </c>
      <c r="H36" s="2">
        <v>940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</row>
    <row r="37" spans="1:28" ht="30" x14ac:dyDescent="0.25">
      <c r="A37" s="71" t="s">
        <v>132</v>
      </c>
      <c r="B37" s="104" t="s">
        <v>354</v>
      </c>
      <c r="C37" s="102" t="s">
        <v>355</v>
      </c>
      <c r="D37" s="1" t="s">
        <v>386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1515</v>
      </c>
      <c r="W37" s="2">
        <v>0</v>
      </c>
      <c r="X37" s="2">
        <v>0</v>
      </c>
      <c r="Y37" s="2">
        <v>0</v>
      </c>
      <c r="Z37" s="2">
        <v>0</v>
      </c>
      <c r="AA37" s="2">
        <v>440</v>
      </c>
      <c r="AB37" s="2">
        <v>50</v>
      </c>
    </row>
    <row r="38" spans="1:28" ht="30" x14ac:dyDescent="0.25">
      <c r="A38" s="71" t="s">
        <v>132</v>
      </c>
      <c r="B38" s="104" t="s">
        <v>441</v>
      </c>
      <c r="C38" s="102" t="s">
        <v>440</v>
      </c>
      <c r="D38" s="1" t="s">
        <v>387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>
        <v>1020</v>
      </c>
      <c r="AB38" s="2">
        <v>3790</v>
      </c>
    </row>
    <row r="39" spans="1:28" ht="30" x14ac:dyDescent="0.25">
      <c r="A39" s="71" t="s">
        <v>132</v>
      </c>
      <c r="B39" s="104" t="s">
        <v>356</v>
      </c>
      <c r="C39" s="102" t="s">
        <v>357</v>
      </c>
      <c r="D39" s="1" t="s">
        <v>386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25</v>
      </c>
      <c r="Z39" s="2">
        <v>55</v>
      </c>
      <c r="AA39" s="2">
        <v>40</v>
      </c>
      <c r="AB39" s="2">
        <v>65</v>
      </c>
    </row>
    <row r="40" spans="1:28" ht="30" x14ac:dyDescent="0.25">
      <c r="A40" s="71" t="s">
        <v>132</v>
      </c>
      <c r="B40" s="104" t="s">
        <v>358</v>
      </c>
      <c r="C40" s="102" t="s">
        <v>359</v>
      </c>
      <c r="D40" s="1" t="s">
        <v>386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>
        <v>270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</row>
    <row r="41" spans="1:28" ht="30" x14ac:dyDescent="0.25">
      <c r="A41" s="71" t="s">
        <v>132</v>
      </c>
      <c r="B41" s="104" t="s">
        <v>305</v>
      </c>
      <c r="C41" s="102" t="s">
        <v>375</v>
      </c>
      <c r="D41" s="1" t="s">
        <v>387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25</v>
      </c>
      <c r="U41" s="2">
        <v>26</v>
      </c>
      <c r="V41" s="2">
        <v>135</v>
      </c>
      <c r="W41" s="2">
        <v>43</v>
      </c>
      <c r="X41" s="2">
        <v>0</v>
      </c>
      <c r="Y41" s="2">
        <v>645</v>
      </c>
      <c r="Z41" s="2">
        <v>80</v>
      </c>
      <c r="AA41" s="2">
        <v>40</v>
      </c>
      <c r="AB41" s="2">
        <v>50</v>
      </c>
    </row>
    <row r="42" spans="1:28" ht="30" x14ac:dyDescent="0.25">
      <c r="A42" s="71" t="s">
        <v>132</v>
      </c>
      <c r="B42" s="104" t="s">
        <v>306</v>
      </c>
      <c r="C42" s="1" t="s">
        <v>307</v>
      </c>
      <c r="D42" s="1" t="s">
        <v>387</v>
      </c>
      <c r="E42" s="2">
        <v>0</v>
      </c>
      <c r="F42" s="2">
        <v>0</v>
      </c>
      <c r="G42" s="2">
        <v>0</v>
      </c>
      <c r="H42" s="2">
        <v>30000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</row>
    <row r="43" spans="1:28" ht="60" x14ac:dyDescent="0.25">
      <c r="A43" s="71" t="s">
        <v>132</v>
      </c>
      <c r="B43" s="104" t="s">
        <v>308</v>
      </c>
      <c r="C43" s="102" t="s">
        <v>376</v>
      </c>
      <c r="D43" s="1" t="s">
        <v>387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28800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</row>
    <row r="44" spans="1:28" ht="30" x14ac:dyDescent="0.25">
      <c r="A44" s="71" t="s">
        <v>132</v>
      </c>
      <c r="B44" s="104" t="s">
        <v>309</v>
      </c>
      <c r="C44" s="102" t="s">
        <v>377</v>
      </c>
      <c r="D44" s="1" t="s">
        <v>387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1760</v>
      </c>
      <c r="S44" s="2">
        <v>0</v>
      </c>
      <c r="T44" s="2">
        <v>5680</v>
      </c>
      <c r="U44" s="2">
        <v>1071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</row>
    <row r="45" spans="1:28" ht="30" x14ac:dyDescent="0.25">
      <c r="A45" s="71" t="s">
        <v>132</v>
      </c>
      <c r="B45" s="104" t="s">
        <v>310</v>
      </c>
      <c r="C45" s="102" t="s">
        <v>378</v>
      </c>
      <c r="D45" s="1" t="s">
        <v>387</v>
      </c>
      <c r="E45" s="2">
        <v>9260</v>
      </c>
      <c r="F45" s="2">
        <v>7440</v>
      </c>
      <c r="G45" s="2">
        <v>3710</v>
      </c>
      <c r="H45" s="2">
        <v>9920</v>
      </c>
      <c r="I45" s="2">
        <v>320</v>
      </c>
      <c r="J45" s="2">
        <v>2100</v>
      </c>
      <c r="K45" s="2">
        <v>3780</v>
      </c>
      <c r="L45" s="2">
        <v>0</v>
      </c>
      <c r="M45" s="2">
        <v>99450</v>
      </c>
      <c r="N45" s="2">
        <v>26140</v>
      </c>
      <c r="O45" s="2">
        <v>11940</v>
      </c>
      <c r="P45" s="2">
        <v>15540</v>
      </c>
      <c r="Q45" s="2">
        <v>18310</v>
      </c>
      <c r="R45" s="2">
        <v>263180</v>
      </c>
      <c r="S45" s="2">
        <v>75200</v>
      </c>
      <c r="T45" s="2">
        <v>33420</v>
      </c>
      <c r="U45" s="2">
        <v>98509</v>
      </c>
      <c r="V45" s="2">
        <v>144840</v>
      </c>
      <c r="W45" s="2">
        <v>149897</v>
      </c>
      <c r="X45" s="2">
        <v>45140</v>
      </c>
      <c r="Y45" s="2">
        <v>88200</v>
      </c>
      <c r="Z45" s="2">
        <v>23680</v>
      </c>
      <c r="AA45" s="2">
        <v>27070</v>
      </c>
      <c r="AB45" s="2">
        <v>45360</v>
      </c>
    </row>
    <row r="46" spans="1:28" ht="30" x14ac:dyDescent="0.25">
      <c r="A46" s="71" t="s">
        <v>132</v>
      </c>
      <c r="B46" s="104" t="s">
        <v>442</v>
      </c>
      <c r="C46" s="102" t="s">
        <v>443</v>
      </c>
      <c r="D46" s="1" t="s">
        <v>386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>
        <v>1520</v>
      </c>
      <c r="AB46" s="2">
        <v>0</v>
      </c>
    </row>
    <row r="47" spans="1:28" ht="30" x14ac:dyDescent="0.25">
      <c r="A47" s="71" t="s">
        <v>132</v>
      </c>
      <c r="B47" s="104" t="s">
        <v>311</v>
      </c>
      <c r="C47" s="102" t="s">
        <v>379</v>
      </c>
      <c r="D47" s="1" t="s">
        <v>387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1960</v>
      </c>
      <c r="P47" s="2">
        <v>147</v>
      </c>
      <c r="Q47" s="2">
        <v>1428</v>
      </c>
      <c r="R47" s="2">
        <v>440</v>
      </c>
      <c r="S47" s="2">
        <v>6275</v>
      </c>
      <c r="T47" s="2">
        <v>1373</v>
      </c>
      <c r="U47" s="2">
        <v>4224</v>
      </c>
      <c r="V47" s="2">
        <v>5778</v>
      </c>
      <c r="W47" s="2">
        <v>363</v>
      </c>
      <c r="X47" s="2">
        <v>0</v>
      </c>
      <c r="Y47" s="2">
        <v>0</v>
      </c>
      <c r="Z47" s="2">
        <v>220</v>
      </c>
      <c r="AA47" s="2">
        <v>0</v>
      </c>
      <c r="AB47" s="2">
        <v>0</v>
      </c>
    </row>
    <row r="48" spans="1:28" ht="30" x14ac:dyDescent="0.25">
      <c r="A48" s="71" t="s">
        <v>132</v>
      </c>
      <c r="B48" s="104" t="s">
        <v>360</v>
      </c>
      <c r="C48" s="102" t="s">
        <v>361</v>
      </c>
      <c r="D48" s="1" t="s">
        <v>386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1305</v>
      </c>
      <c r="S48" s="2">
        <v>0</v>
      </c>
      <c r="T48" s="2">
        <v>0</v>
      </c>
      <c r="U48" s="2">
        <v>0</v>
      </c>
      <c r="V48" s="2">
        <v>140</v>
      </c>
      <c r="W48" s="2">
        <v>650</v>
      </c>
      <c r="X48" s="2">
        <v>470</v>
      </c>
      <c r="Y48" s="2">
        <v>2280</v>
      </c>
      <c r="Z48" s="2">
        <v>580</v>
      </c>
      <c r="AA48" s="2">
        <v>670</v>
      </c>
      <c r="AB48" s="2">
        <v>870</v>
      </c>
    </row>
    <row r="49" spans="1:28" ht="30" x14ac:dyDescent="0.25">
      <c r="A49" s="71" t="s">
        <v>132</v>
      </c>
      <c r="B49" s="104" t="s">
        <v>312</v>
      </c>
      <c r="C49" s="102" t="s">
        <v>380</v>
      </c>
      <c r="D49" s="1" t="s">
        <v>387</v>
      </c>
      <c r="E49" s="2">
        <v>0</v>
      </c>
      <c r="F49" s="2">
        <v>0</v>
      </c>
      <c r="G49" s="2">
        <v>6670</v>
      </c>
      <c r="H49" s="2">
        <v>0</v>
      </c>
      <c r="I49" s="2">
        <v>0</v>
      </c>
      <c r="J49" s="2">
        <v>6680</v>
      </c>
      <c r="K49" s="2">
        <v>0</v>
      </c>
      <c r="L49" s="2">
        <v>0</v>
      </c>
      <c r="M49" s="2">
        <v>5310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7940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</row>
    <row r="50" spans="1:28" ht="30" x14ac:dyDescent="0.25">
      <c r="A50" s="71" t="s">
        <v>132</v>
      </c>
      <c r="B50" s="104" t="s">
        <v>313</v>
      </c>
      <c r="C50" s="102" t="s">
        <v>381</v>
      </c>
      <c r="D50" s="1" t="s">
        <v>387</v>
      </c>
      <c r="E50" s="2">
        <v>0</v>
      </c>
      <c r="F50" s="2">
        <v>0</v>
      </c>
      <c r="G50" s="2">
        <v>1010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</row>
    <row r="51" spans="1:28" ht="45" x14ac:dyDescent="0.25">
      <c r="A51" s="71" t="s">
        <v>132</v>
      </c>
      <c r="B51" s="104" t="s">
        <v>314</v>
      </c>
      <c r="C51" s="102" t="s">
        <v>382</v>
      </c>
      <c r="D51" s="1" t="s">
        <v>387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5460</v>
      </c>
      <c r="S51" s="2">
        <v>4365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2940</v>
      </c>
      <c r="AB51" s="2">
        <v>0</v>
      </c>
    </row>
    <row r="52" spans="1:28" ht="45" x14ac:dyDescent="0.25">
      <c r="A52" s="71" t="s">
        <v>132</v>
      </c>
      <c r="B52" s="104" t="s">
        <v>362</v>
      </c>
      <c r="C52" s="102" t="s">
        <v>363</v>
      </c>
      <c r="D52" s="1" t="s">
        <v>386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>
        <v>5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</row>
    <row r="53" spans="1:28" ht="30" x14ac:dyDescent="0.25">
      <c r="A53" s="71" t="s">
        <v>132</v>
      </c>
      <c r="B53" s="104" t="s">
        <v>364</v>
      </c>
      <c r="C53" s="102" t="s">
        <v>365</v>
      </c>
      <c r="D53" s="1" t="s">
        <v>386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40</v>
      </c>
      <c r="P53" s="2">
        <v>40</v>
      </c>
      <c r="Q53" s="2">
        <v>0</v>
      </c>
      <c r="R53" s="2">
        <v>60</v>
      </c>
      <c r="S53" s="2">
        <v>25</v>
      </c>
      <c r="T53" s="2">
        <v>30</v>
      </c>
      <c r="U53" s="2">
        <v>75</v>
      </c>
      <c r="V53" s="2">
        <v>15</v>
      </c>
      <c r="W53" s="2">
        <v>42</v>
      </c>
      <c r="X53" s="2">
        <v>0</v>
      </c>
      <c r="Y53" s="2">
        <v>120</v>
      </c>
      <c r="Z53" s="2">
        <v>80</v>
      </c>
      <c r="AA53" s="2">
        <v>180</v>
      </c>
      <c r="AB53" s="2">
        <v>30</v>
      </c>
    </row>
    <row r="54" spans="1:28" ht="30" x14ac:dyDescent="0.25">
      <c r="A54" s="71" t="s">
        <v>132</v>
      </c>
      <c r="B54" s="104" t="s">
        <v>315</v>
      </c>
      <c r="C54" s="102" t="s">
        <v>383</v>
      </c>
      <c r="D54" s="1" t="s">
        <v>387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>
        <v>20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</row>
    <row r="55" spans="1:28" ht="30.75" thickBot="1" x14ac:dyDescent="0.3">
      <c r="A55" s="71" t="s">
        <v>132</v>
      </c>
      <c r="B55" s="104" t="s">
        <v>316</v>
      </c>
      <c r="C55" s="102" t="s">
        <v>384</v>
      </c>
      <c r="D55" s="1" t="s">
        <v>387</v>
      </c>
      <c r="E55" s="2">
        <v>0</v>
      </c>
      <c r="F55" s="2">
        <v>5000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2000</v>
      </c>
      <c r="Y55" s="2">
        <v>0</v>
      </c>
      <c r="Z55" s="2">
        <v>0</v>
      </c>
      <c r="AA55" s="2">
        <v>0</v>
      </c>
      <c r="AB55" s="2">
        <v>0</v>
      </c>
    </row>
    <row r="56" spans="1:28" ht="30" hidden="1" x14ac:dyDescent="0.25">
      <c r="A56" s="71" t="s">
        <v>134</v>
      </c>
      <c r="B56" s="104" t="s">
        <v>389</v>
      </c>
      <c r="C56" s="1" t="s">
        <v>390</v>
      </c>
      <c r="D56" s="1" t="s">
        <v>387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3070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</row>
    <row r="57" spans="1:28" ht="30" hidden="1" x14ac:dyDescent="0.25">
      <c r="A57" s="71" t="s">
        <v>134</v>
      </c>
      <c r="B57" s="104" t="s">
        <v>290</v>
      </c>
      <c r="C57" s="1" t="s">
        <v>291</v>
      </c>
      <c r="D57" s="1" t="s">
        <v>387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43311</v>
      </c>
      <c r="Z57" s="2">
        <v>127830</v>
      </c>
      <c r="AA57" s="2">
        <v>221250</v>
      </c>
      <c r="AB57" s="2">
        <v>164720</v>
      </c>
    </row>
    <row r="58" spans="1:28" ht="30" hidden="1" x14ac:dyDescent="0.25">
      <c r="A58" s="71" t="s">
        <v>134</v>
      </c>
      <c r="B58" s="104" t="s">
        <v>292</v>
      </c>
      <c r="C58" s="1" t="s">
        <v>293</v>
      </c>
      <c r="D58" s="1" t="s">
        <v>387</v>
      </c>
      <c r="E58" s="2">
        <v>196950</v>
      </c>
      <c r="F58" s="2">
        <v>193140</v>
      </c>
      <c r="G58" s="2">
        <v>204330</v>
      </c>
      <c r="H58" s="2">
        <v>215850</v>
      </c>
      <c r="I58" s="2">
        <v>224620</v>
      </c>
      <c r="J58" s="2">
        <v>277740</v>
      </c>
      <c r="K58" s="2">
        <v>299440</v>
      </c>
      <c r="L58" s="2">
        <v>237140</v>
      </c>
      <c r="M58" s="2">
        <v>282310</v>
      </c>
      <c r="N58" s="2">
        <v>304920</v>
      </c>
      <c r="O58" s="2">
        <v>266220</v>
      </c>
      <c r="P58" s="2">
        <v>270840</v>
      </c>
      <c r="Q58" s="2">
        <v>418480</v>
      </c>
      <c r="R58" s="2">
        <v>515100</v>
      </c>
      <c r="S58" s="2">
        <v>490040</v>
      </c>
      <c r="T58" s="2">
        <v>537250</v>
      </c>
      <c r="U58" s="2">
        <v>586370</v>
      </c>
      <c r="V58" s="2">
        <v>566520</v>
      </c>
      <c r="W58" s="2">
        <v>529260</v>
      </c>
      <c r="X58" s="2">
        <v>652500</v>
      </c>
      <c r="Y58" s="2">
        <v>642980</v>
      </c>
      <c r="Z58" s="2">
        <v>543820</v>
      </c>
      <c r="AA58" s="2">
        <v>455340</v>
      </c>
      <c r="AB58" s="2">
        <v>565940</v>
      </c>
    </row>
    <row r="59" spans="1:28" ht="30" hidden="1" x14ac:dyDescent="0.25">
      <c r="A59" s="71" t="s">
        <v>134</v>
      </c>
      <c r="B59" s="104" t="s">
        <v>471</v>
      </c>
      <c r="C59" s="102" t="s">
        <v>470</v>
      </c>
      <c r="D59" s="1" t="s">
        <v>387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v>11660</v>
      </c>
    </row>
    <row r="60" spans="1:28" ht="30" hidden="1" x14ac:dyDescent="0.25">
      <c r="A60" s="71" t="s">
        <v>134</v>
      </c>
      <c r="B60" s="104" t="s">
        <v>297</v>
      </c>
      <c r="C60" s="1">
        <v>150101</v>
      </c>
      <c r="D60" s="1" t="s">
        <v>387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29760</v>
      </c>
      <c r="R60" s="2">
        <v>41110</v>
      </c>
      <c r="S60" s="2">
        <v>43810</v>
      </c>
      <c r="T60" s="2">
        <v>52040</v>
      </c>
      <c r="U60" s="2">
        <v>62822</v>
      </c>
      <c r="V60" s="2">
        <v>71790</v>
      </c>
      <c r="W60" s="2">
        <v>74460</v>
      </c>
      <c r="X60" s="2">
        <v>76220</v>
      </c>
      <c r="Y60" s="2">
        <v>79977</v>
      </c>
      <c r="Z60" s="2">
        <v>65940</v>
      </c>
      <c r="AA60" s="2">
        <v>65190</v>
      </c>
      <c r="AB60" s="2">
        <v>64180</v>
      </c>
    </row>
    <row r="61" spans="1:28" ht="30" hidden="1" x14ac:dyDescent="0.25">
      <c r="A61" s="71" t="s">
        <v>134</v>
      </c>
      <c r="B61" s="104" t="s">
        <v>299</v>
      </c>
      <c r="C61" s="1">
        <v>150103</v>
      </c>
      <c r="D61" s="1" t="s">
        <v>387</v>
      </c>
      <c r="E61" s="2">
        <v>1040</v>
      </c>
      <c r="F61" s="2">
        <v>28600</v>
      </c>
      <c r="G61" s="2">
        <v>38320</v>
      </c>
      <c r="H61" s="2">
        <v>37960</v>
      </c>
      <c r="I61" s="2">
        <v>33080</v>
      </c>
      <c r="J61" s="2">
        <v>43500</v>
      </c>
      <c r="K61" s="2">
        <v>29020</v>
      </c>
      <c r="L61" s="2">
        <v>26040</v>
      </c>
      <c r="M61" s="2">
        <v>22700</v>
      </c>
      <c r="N61" s="2">
        <v>36660</v>
      </c>
      <c r="O61" s="2">
        <v>30141</v>
      </c>
      <c r="P61" s="2">
        <v>49750</v>
      </c>
      <c r="Q61" s="2">
        <v>44690</v>
      </c>
      <c r="R61" s="2">
        <v>28280</v>
      </c>
      <c r="S61" s="2">
        <v>38520</v>
      </c>
      <c r="T61" s="2">
        <v>44200</v>
      </c>
      <c r="U61" s="2">
        <v>77000</v>
      </c>
      <c r="V61" s="2">
        <v>63120</v>
      </c>
      <c r="W61" s="2">
        <v>42460</v>
      </c>
      <c r="X61" s="2">
        <v>61930</v>
      </c>
      <c r="Y61" s="2">
        <v>89170</v>
      </c>
      <c r="Z61" s="2">
        <v>71450</v>
      </c>
      <c r="AA61" s="2">
        <v>75240</v>
      </c>
      <c r="AB61" s="2">
        <v>84120</v>
      </c>
    </row>
    <row r="62" spans="1:28" ht="30" hidden="1" x14ac:dyDescent="0.25">
      <c r="A62" s="71" t="s">
        <v>134</v>
      </c>
      <c r="B62" s="104" t="s">
        <v>391</v>
      </c>
      <c r="C62" s="1">
        <v>150105</v>
      </c>
      <c r="D62" s="1" t="s">
        <v>387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55200</v>
      </c>
      <c r="P62" s="2">
        <v>138410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</row>
    <row r="63" spans="1:28" ht="30" hidden="1" x14ac:dyDescent="0.25">
      <c r="A63" s="71" t="s">
        <v>134</v>
      </c>
      <c r="B63" s="104" t="s">
        <v>301</v>
      </c>
      <c r="C63" s="1">
        <v>150106</v>
      </c>
      <c r="D63" s="1" t="s">
        <v>387</v>
      </c>
      <c r="E63" s="2">
        <v>7560</v>
      </c>
      <c r="F63" s="2">
        <v>460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13460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</row>
    <row r="64" spans="1:28" ht="30" hidden="1" x14ac:dyDescent="0.25">
      <c r="A64" s="71" t="s">
        <v>134</v>
      </c>
      <c r="B64" s="104" t="s">
        <v>310</v>
      </c>
      <c r="C64" s="1">
        <v>170405</v>
      </c>
      <c r="D64" s="1" t="s">
        <v>387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>
        <v>9460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</row>
    <row r="65" spans="1:28" ht="60.75" hidden="1" thickBot="1" x14ac:dyDescent="0.3">
      <c r="A65" s="71" t="s">
        <v>134</v>
      </c>
      <c r="B65" s="104" t="s">
        <v>392</v>
      </c>
      <c r="C65" s="1">
        <v>170904</v>
      </c>
      <c r="D65" s="1" t="s">
        <v>387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31120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</row>
    <row r="66" spans="1:28" ht="15.75" thickTop="1" x14ac:dyDescent="0.25">
      <c r="A66" s="135" t="s">
        <v>395</v>
      </c>
      <c r="B66" s="112" t="s">
        <v>402</v>
      </c>
      <c r="C66" s="113"/>
      <c r="D66" s="113" t="s">
        <v>12</v>
      </c>
      <c r="E66" s="114">
        <f>SUBTOTAL(109,Tabella20[2002])</f>
        <v>843282</v>
      </c>
      <c r="F66" s="114">
        <f>SUBTOTAL(109,Tabella20[2003])</f>
        <v>876852</v>
      </c>
      <c r="G66" s="114">
        <f>SUBTOTAL(109,Tabella20[2004])</f>
        <v>967724</v>
      </c>
      <c r="H66" s="114">
        <f>SUBTOTAL(109,Tabella20[2005])</f>
        <v>947265</v>
      </c>
      <c r="I66" s="114">
        <f>SUBTOTAL(109,Tabella20[2006])</f>
        <v>968972</v>
      </c>
      <c r="J66" s="114">
        <f>SUBTOTAL(109,Tabella20[2007])</f>
        <v>1368545</v>
      </c>
      <c r="K66" s="114">
        <f>SUBTOTAL(109,Tabella20[2008])</f>
        <v>1246950</v>
      </c>
      <c r="L66" s="114">
        <f>SUBTOTAL(109,Tabella20[2009])</f>
        <v>808907</v>
      </c>
      <c r="M66" s="114">
        <f>SUBTOTAL(109,Tabella20[2010])</f>
        <v>1349597</v>
      </c>
      <c r="N66" s="114">
        <f>SUBTOTAL(109,Tabella20[2011])</f>
        <v>1451788</v>
      </c>
      <c r="O66" s="114">
        <f>SUBTOTAL(109,Tabella20[2012])</f>
        <v>1416334</v>
      </c>
      <c r="P66" s="114">
        <f>SUBTOTAL(109,Tabella20[2013])</f>
        <v>1508321</v>
      </c>
      <c r="Q66" s="114">
        <f>SUBTOTAL(109,Tabella20[2014])</f>
        <v>1767860</v>
      </c>
      <c r="R66" s="114">
        <f>SUBTOTAL(109,Tabella20[2015])</f>
        <v>2278369</v>
      </c>
      <c r="S66" s="114">
        <f>SUBTOTAL(109,Tabella20[2016])</f>
        <v>1795386</v>
      </c>
      <c r="T66" s="114">
        <f>SUBTOTAL(109,Tabella20[2017])</f>
        <v>1777905</v>
      </c>
      <c r="U66" s="114">
        <f>SUBTOTAL(109,Tabella20[2018])</f>
        <v>1995818</v>
      </c>
      <c r="V66" s="114">
        <f>SUBTOTAL(109,Tabella20[2019])</f>
        <v>1965518</v>
      </c>
      <c r="W66" s="114">
        <f>SUBTOTAL(109,Tabella20[2020])</f>
        <v>1791609</v>
      </c>
      <c r="X66" s="114">
        <f>SUBTOTAL(109,Tabella20[2021])</f>
        <v>1853761</v>
      </c>
      <c r="Y66" s="114">
        <f>SUBTOTAL(109,Tabella20[2022])</f>
        <v>1773712</v>
      </c>
      <c r="Z66" s="114">
        <f>SUBTOTAL(109,Tabella20[2023])</f>
        <v>1465623</v>
      </c>
      <c r="AA66" s="114">
        <f>SUBTOTAL(109,Tabella20[2024])</f>
        <v>1819788</v>
      </c>
      <c r="AB66" s="114">
        <f>SUBTOTAL(109,Tabella20[2025])</f>
        <v>1626695</v>
      </c>
    </row>
    <row r="67" spans="1:28" x14ac:dyDescent="0.25">
      <c r="A67" s="136" t="s">
        <v>395</v>
      </c>
      <c r="B67" s="105" t="s">
        <v>393</v>
      </c>
      <c r="C67" s="106"/>
      <c r="D67" s="107" t="s">
        <v>386</v>
      </c>
      <c r="E67" s="108">
        <v>166440</v>
      </c>
      <c r="F67" s="108">
        <v>141718</v>
      </c>
      <c r="G67" s="108">
        <v>93828</v>
      </c>
      <c r="H67" s="108">
        <v>257973</v>
      </c>
      <c r="I67" s="108">
        <v>370371</v>
      </c>
      <c r="J67" s="108">
        <v>748737</v>
      </c>
      <c r="K67" s="108">
        <v>654620</v>
      </c>
      <c r="L67" s="108">
        <v>367450</v>
      </c>
      <c r="M67" s="108">
        <v>663268</v>
      </c>
      <c r="N67" s="108">
        <v>715964</v>
      </c>
      <c r="O67" s="108">
        <v>684171</v>
      </c>
      <c r="P67" s="108">
        <v>744425</v>
      </c>
      <c r="Q67" s="108">
        <v>837430</v>
      </c>
      <c r="R67" s="108">
        <v>794926</v>
      </c>
      <c r="S67" s="108">
        <v>713090</v>
      </c>
      <c r="T67" s="108">
        <v>717821</v>
      </c>
      <c r="U67" s="108">
        <v>827090</v>
      </c>
      <c r="V67" s="108">
        <v>716065</v>
      </c>
      <c r="W67" s="108">
        <v>607971</v>
      </c>
      <c r="X67" s="108">
        <v>755809</v>
      </c>
      <c r="Y67" s="108">
        <v>591565</v>
      </c>
      <c r="Z67" s="108">
        <v>412210</v>
      </c>
      <c r="AA67" s="108">
        <v>670830</v>
      </c>
      <c r="AB67" s="108">
        <v>601725</v>
      </c>
    </row>
    <row r="68" spans="1:28" x14ac:dyDescent="0.25">
      <c r="A68" s="137" t="s">
        <v>395</v>
      </c>
      <c r="B68" s="109" t="s">
        <v>394</v>
      </c>
      <c r="C68" s="110"/>
      <c r="D68" s="111" t="s">
        <v>387</v>
      </c>
      <c r="E68" s="131">
        <v>882392</v>
      </c>
      <c r="F68" s="131">
        <v>957334</v>
      </c>
      <c r="G68" s="131">
        <v>1116546</v>
      </c>
      <c r="H68" s="131">
        <v>943102</v>
      </c>
      <c r="I68" s="131">
        <v>856301</v>
      </c>
      <c r="J68" s="131">
        <v>941048</v>
      </c>
      <c r="K68" s="131">
        <v>920790</v>
      </c>
      <c r="L68" s="131">
        <v>704637</v>
      </c>
      <c r="M68" s="131">
        <v>991339</v>
      </c>
      <c r="N68" s="131">
        <v>1077404</v>
      </c>
      <c r="O68" s="131">
        <v>1083724</v>
      </c>
      <c r="P68" s="131">
        <v>1222896</v>
      </c>
      <c r="Q68" s="131">
        <v>1457550</v>
      </c>
      <c r="R68" s="131">
        <v>2067933</v>
      </c>
      <c r="S68" s="131">
        <v>1668126</v>
      </c>
      <c r="T68" s="131">
        <v>1703034</v>
      </c>
      <c r="U68" s="131">
        <v>1894920</v>
      </c>
      <c r="V68" s="131">
        <v>1950883</v>
      </c>
      <c r="W68" s="131">
        <v>1829818</v>
      </c>
      <c r="X68" s="131">
        <v>1888602</v>
      </c>
      <c r="Y68" s="131">
        <v>2037585</v>
      </c>
      <c r="Z68" s="131">
        <v>1862453</v>
      </c>
      <c r="AA68" s="131">
        <v>1965978</v>
      </c>
      <c r="AB68" s="131">
        <v>1915590</v>
      </c>
    </row>
    <row r="69" spans="1:28" x14ac:dyDescent="0.25">
      <c r="A69" s="137" t="s">
        <v>395</v>
      </c>
      <c r="B69" s="109" t="s">
        <v>409</v>
      </c>
      <c r="C69" s="110"/>
      <c r="D69" s="111"/>
      <c r="E69" s="131">
        <v>152275</v>
      </c>
      <c r="F69" s="131">
        <v>118036</v>
      </c>
      <c r="G69" s="131">
        <v>57880</v>
      </c>
      <c r="H69" s="131">
        <v>100700</v>
      </c>
      <c r="I69" s="131">
        <v>187310</v>
      </c>
      <c r="J69" s="131">
        <v>538630</v>
      </c>
      <c r="K69" s="131">
        <v>460350</v>
      </c>
      <c r="L69" s="131">
        <v>220830</v>
      </c>
      <c r="M69" s="131">
        <v>449930</v>
      </c>
      <c r="N69" s="131">
        <v>513300</v>
      </c>
      <c r="O69" s="131">
        <v>451230</v>
      </c>
      <c r="P69" s="131">
        <v>509620</v>
      </c>
      <c r="Q69" s="131">
        <v>555300</v>
      </c>
      <c r="R69" s="131">
        <v>473010</v>
      </c>
      <c r="S69" s="131">
        <v>445300</v>
      </c>
      <c r="T69" s="131">
        <v>455530</v>
      </c>
      <c r="U69" s="131">
        <v>553430</v>
      </c>
      <c r="V69" s="131">
        <v>456140</v>
      </c>
      <c r="W69" s="131">
        <v>358410</v>
      </c>
      <c r="X69" s="131">
        <v>483950</v>
      </c>
      <c r="Y69" s="131">
        <v>377610</v>
      </c>
      <c r="Z69" s="131">
        <v>234710</v>
      </c>
      <c r="AA69" s="131">
        <v>477540</v>
      </c>
      <c r="AB69" s="131">
        <v>428590</v>
      </c>
    </row>
    <row r="70" spans="1:28" x14ac:dyDescent="0.25">
      <c r="A70" s="137" t="s">
        <v>395</v>
      </c>
      <c r="B70" s="109" t="s">
        <v>454</v>
      </c>
      <c r="C70" s="110"/>
      <c r="D70" s="111"/>
      <c r="E70" s="131">
        <v>896557</v>
      </c>
      <c r="F70" s="131">
        <v>981016</v>
      </c>
      <c r="G70" s="131">
        <v>1152494</v>
      </c>
      <c r="H70" s="131">
        <v>1100375</v>
      </c>
      <c r="I70" s="131">
        <v>1039362</v>
      </c>
      <c r="J70" s="131">
        <v>1151155</v>
      </c>
      <c r="K70" s="131">
        <v>1115060</v>
      </c>
      <c r="L70" s="131">
        <v>851257</v>
      </c>
      <c r="M70" s="131">
        <v>1204677</v>
      </c>
      <c r="N70" s="131">
        <v>1280068</v>
      </c>
      <c r="O70" s="131">
        <v>1316665</v>
      </c>
      <c r="P70" s="131">
        <v>1457701</v>
      </c>
      <c r="Q70" s="131">
        <v>1739680</v>
      </c>
      <c r="R70" s="131">
        <v>2389849</v>
      </c>
      <c r="S70" s="131">
        <v>1935916</v>
      </c>
      <c r="T70" s="131">
        <v>1965325</v>
      </c>
      <c r="U70" s="131">
        <v>2168580</v>
      </c>
      <c r="V70" s="131">
        <v>2210808</v>
      </c>
      <c r="W70" s="131">
        <v>2079379</v>
      </c>
      <c r="X70" s="131">
        <v>2160461</v>
      </c>
      <c r="Y70" s="131">
        <v>2251540</v>
      </c>
      <c r="Z70" s="131">
        <v>2039953</v>
      </c>
      <c r="AA70" s="131">
        <v>2159268</v>
      </c>
      <c r="AB70" s="131">
        <v>2088725</v>
      </c>
    </row>
    <row r="71" spans="1:28" ht="15.75" thickBot="1" x14ac:dyDescent="0.3">
      <c r="A71" s="138" t="s">
        <v>395</v>
      </c>
      <c r="B71" s="115" t="s">
        <v>410</v>
      </c>
      <c r="C71" s="116"/>
      <c r="D71" s="117"/>
      <c r="E71" s="118">
        <v>14165</v>
      </c>
      <c r="F71" s="118">
        <v>23682</v>
      </c>
      <c r="G71" s="118">
        <v>35948</v>
      </c>
      <c r="H71" s="118">
        <v>157273</v>
      </c>
      <c r="I71" s="118">
        <v>183061</v>
      </c>
      <c r="J71" s="118">
        <v>210107</v>
      </c>
      <c r="K71" s="118">
        <v>194270</v>
      </c>
      <c r="L71" s="118">
        <v>146620</v>
      </c>
      <c r="M71" s="118">
        <v>213338</v>
      </c>
      <c r="N71" s="118">
        <v>202664</v>
      </c>
      <c r="O71" s="118">
        <v>232941</v>
      </c>
      <c r="P71" s="118">
        <v>234805</v>
      </c>
      <c r="Q71" s="118">
        <v>282130</v>
      </c>
      <c r="R71" s="118">
        <v>321916</v>
      </c>
      <c r="S71" s="118">
        <v>267790</v>
      </c>
      <c r="T71" s="118">
        <v>262291</v>
      </c>
      <c r="U71" s="118">
        <v>273660</v>
      </c>
      <c r="V71" s="118">
        <v>259925</v>
      </c>
      <c r="W71" s="118">
        <v>249561</v>
      </c>
      <c r="X71" s="118">
        <v>271859</v>
      </c>
      <c r="Y71" s="118">
        <v>213955</v>
      </c>
      <c r="Z71" s="118">
        <v>177500</v>
      </c>
      <c r="AA71" s="118">
        <v>193290</v>
      </c>
      <c r="AB71" s="118">
        <v>173135</v>
      </c>
    </row>
    <row r="72" spans="1:28" ht="15.75" thickTop="1" x14ac:dyDescent="0.25">
      <c r="A72" s="143" t="s">
        <v>435</v>
      </c>
      <c r="B72" s="144" t="s">
        <v>129</v>
      </c>
      <c r="C72" s="145"/>
      <c r="D72" s="146" t="s">
        <v>20</v>
      </c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>
        <v>3286.0422400000002</v>
      </c>
      <c r="R72" s="147">
        <v>3616.0618699662978</v>
      </c>
      <c r="S72" s="147">
        <v>3651.1130299999995</v>
      </c>
      <c r="T72" s="147">
        <v>4117.8956400000006</v>
      </c>
      <c r="U72" s="147">
        <v>4205.3842354909993</v>
      </c>
      <c r="V72" s="147">
        <v>3810.5351100000003</v>
      </c>
      <c r="W72" s="147">
        <v>3442.0365600000005</v>
      </c>
      <c r="X72" s="147">
        <v>4157.5889999999999</v>
      </c>
      <c r="Y72" s="147">
        <v>4257.4617448469926</v>
      </c>
      <c r="Z72" s="147">
        <v>3898.2900863530003</v>
      </c>
      <c r="AA72" s="147">
        <v>4100.1989415100006</v>
      </c>
      <c r="AB72" s="147">
        <v>3869.6090812220059</v>
      </c>
    </row>
    <row r="73" spans="1:28" x14ac:dyDescent="0.25">
      <c r="A73" s="136" t="s">
        <v>435</v>
      </c>
      <c r="B73" s="105" t="s">
        <v>455</v>
      </c>
      <c r="C73" s="106"/>
      <c r="D73" s="107" t="s">
        <v>436</v>
      </c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56">
        <v>0.6984024648447611</v>
      </c>
      <c r="R73" s="156">
        <v>0.79170631005455727</v>
      </c>
      <c r="S73" s="156">
        <v>0.65218906685011613</v>
      </c>
      <c r="T73" s="156">
        <v>0.58788643803513185</v>
      </c>
      <c r="U73" s="156">
        <v>0.64726784702045004</v>
      </c>
      <c r="V73" s="156">
        <v>0.69988805325559633</v>
      </c>
      <c r="W73" s="156">
        <v>0.70824029829595991</v>
      </c>
      <c r="X73" s="156">
        <v>0.63604435166631434</v>
      </c>
      <c r="Y73" s="156">
        <v>0.61753931275652318</v>
      </c>
      <c r="Z73" s="156">
        <v>0.58350275367219639</v>
      </c>
      <c r="AA73" s="156">
        <v>0.64309269808965164</v>
      </c>
      <c r="AB73" s="156">
        <v>0.65053470445263761</v>
      </c>
    </row>
    <row r="74" spans="1:28" x14ac:dyDescent="0.25">
      <c r="A74" s="136" t="s">
        <v>435</v>
      </c>
      <c r="B74" s="105" t="s">
        <v>437</v>
      </c>
      <c r="C74" s="106"/>
      <c r="D74" s="107" t="s">
        <v>436</v>
      </c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57">
        <v>0.16898748081826237</v>
      </c>
      <c r="R74" s="157">
        <v>0.13080804947743013</v>
      </c>
      <c r="S74" s="157">
        <v>0.12196280869453117</v>
      </c>
      <c r="T74" s="157">
        <v>0.11062203606500332</v>
      </c>
      <c r="U74" s="157">
        <v>0.13160034113633953</v>
      </c>
      <c r="V74" s="157">
        <v>0.11970497235491945</v>
      </c>
      <c r="W74" s="157">
        <v>0.10412730770064801</v>
      </c>
      <c r="X74" s="157">
        <v>0.11640159717567081</v>
      </c>
      <c r="Y74" s="157">
        <v>8.8693691835760882E-2</v>
      </c>
      <c r="Z74" s="157">
        <v>6.0208449038121788E-2</v>
      </c>
      <c r="AA74" s="157">
        <v>0.11646751945751539</v>
      </c>
      <c r="AB74" s="157">
        <v>0.11075795797560334</v>
      </c>
    </row>
    <row r="75" spans="1:28" ht="15.75" thickBot="1" x14ac:dyDescent="0.3">
      <c r="A75" s="138" t="s">
        <v>435</v>
      </c>
      <c r="B75" s="115" t="s">
        <v>438</v>
      </c>
      <c r="C75" s="116"/>
      <c r="D75" s="117" t="s">
        <v>436</v>
      </c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56">
        <v>8.5857082591853706E-2</v>
      </c>
      <c r="R75" s="156">
        <v>8.9023919273538393E-2</v>
      </c>
      <c r="S75" s="156">
        <v>7.3344757557396154E-2</v>
      </c>
      <c r="T75" s="156">
        <v>6.3695397584189378E-2</v>
      </c>
      <c r="U75" s="157">
        <v>6.5073720895814618E-2</v>
      </c>
      <c r="V75" s="157">
        <v>6.8212204453353006E-2</v>
      </c>
      <c r="W75" s="157">
        <v>7.2503878343465347E-2</v>
      </c>
      <c r="X75" s="157">
        <v>6.5388618259284409E-2</v>
      </c>
      <c r="Y75" s="157">
        <v>5.0254121545298645E-2</v>
      </c>
      <c r="Z75" s="157">
        <v>4.5532783879113019E-2</v>
      </c>
      <c r="AA75" s="157">
        <v>4.7141615018518129E-2</v>
      </c>
      <c r="AB75" s="157">
        <v>4.4742245628936944E-2</v>
      </c>
    </row>
    <row r="76" spans="1:28" ht="30.75" thickTop="1" x14ac:dyDescent="0.25">
      <c r="A76" s="139" t="s">
        <v>132</v>
      </c>
      <c r="B76" s="119" t="s">
        <v>403</v>
      </c>
      <c r="C76" s="119"/>
      <c r="D76" s="123" t="s">
        <v>398</v>
      </c>
      <c r="E76" s="124">
        <v>166440</v>
      </c>
      <c r="F76" s="124">
        <v>141718</v>
      </c>
      <c r="G76" s="124">
        <v>93828</v>
      </c>
      <c r="H76" s="124">
        <v>257973</v>
      </c>
      <c r="I76" s="124">
        <v>370371</v>
      </c>
      <c r="J76" s="124">
        <v>748737</v>
      </c>
      <c r="K76" s="124">
        <v>654620</v>
      </c>
      <c r="L76" s="124">
        <v>367450</v>
      </c>
      <c r="M76" s="124">
        <v>663268</v>
      </c>
      <c r="N76" s="124">
        <v>715964</v>
      </c>
      <c r="O76" s="124">
        <v>684171</v>
      </c>
      <c r="P76" s="124">
        <v>744425</v>
      </c>
      <c r="Q76" s="124">
        <v>837430</v>
      </c>
      <c r="R76" s="124">
        <v>794926</v>
      </c>
      <c r="S76" s="124">
        <v>713090</v>
      </c>
      <c r="T76" s="124">
        <v>717821</v>
      </c>
      <c r="U76" s="124">
        <v>827090</v>
      </c>
      <c r="V76" s="124">
        <v>716065</v>
      </c>
      <c r="W76" s="124">
        <v>607971</v>
      </c>
      <c r="X76" s="124">
        <v>755809</v>
      </c>
      <c r="Y76" s="124">
        <v>591565</v>
      </c>
      <c r="Z76" s="124">
        <v>412210</v>
      </c>
      <c r="AA76" s="124">
        <v>670830</v>
      </c>
      <c r="AB76" s="124">
        <v>601725</v>
      </c>
    </row>
    <row r="77" spans="1:28" ht="30" x14ac:dyDescent="0.25">
      <c r="A77" s="140" t="s">
        <v>132</v>
      </c>
      <c r="B77" s="120" t="s">
        <v>404</v>
      </c>
      <c r="C77" s="120"/>
      <c r="D77" s="125" t="s">
        <v>399</v>
      </c>
      <c r="E77" s="126">
        <v>676842</v>
      </c>
      <c r="F77" s="126">
        <v>735134</v>
      </c>
      <c r="G77" s="126">
        <v>873896</v>
      </c>
      <c r="H77" s="126">
        <v>689292</v>
      </c>
      <c r="I77" s="126">
        <v>598601</v>
      </c>
      <c r="J77" s="126">
        <v>619808</v>
      </c>
      <c r="K77" s="126">
        <v>592330</v>
      </c>
      <c r="L77" s="126">
        <v>441457</v>
      </c>
      <c r="M77" s="126">
        <v>686329</v>
      </c>
      <c r="N77" s="126">
        <v>735824</v>
      </c>
      <c r="O77" s="126">
        <v>732163</v>
      </c>
      <c r="P77" s="126">
        <v>763896</v>
      </c>
      <c r="Q77" s="126">
        <v>930430</v>
      </c>
      <c r="R77" s="126">
        <v>1483443</v>
      </c>
      <c r="S77" s="126">
        <v>1082296</v>
      </c>
      <c r="T77" s="126">
        <v>1060084</v>
      </c>
      <c r="U77" s="126">
        <v>1168728</v>
      </c>
      <c r="V77" s="126">
        <v>1249453</v>
      </c>
      <c r="W77" s="126">
        <v>1183638</v>
      </c>
      <c r="X77" s="126">
        <v>1097952</v>
      </c>
      <c r="Y77" s="126">
        <v>1182147</v>
      </c>
      <c r="Z77" s="126">
        <v>1053413</v>
      </c>
      <c r="AA77" s="126">
        <v>1148958</v>
      </c>
      <c r="AB77" s="126">
        <v>1024970</v>
      </c>
    </row>
    <row r="78" spans="1:28" ht="30.75" thickBot="1" x14ac:dyDescent="0.3">
      <c r="A78" s="141" t="s">
        <v>132</v>
      </c>
      <c r="B78" s="121" t="s">
        <v>400</v>
      </c>
      <c r="C78" s="121"/>
      <c r="D78" s="127" t="s">
        <v>407</v>
      </c>
      <c r="E78" s="128">
        <v>843282</v>
      </c>
      <c r="F78" s="128">
        <v>876852</v>
      </c>
      <c r="G78" s="128">
        <v>967724</v>
      </c>
      <c r="H78" s="128">
        <v>947265</v>
      </c>
      <c r="I78" s="128">
        <v>968972</v>
      </c>
      <c r="J78" s="128">
        <v>1368545</v>
      </c>
      <c r="K78" s="128">
        <v>1246950</v>
      </c>
      <c r="L78" s="128">
        <v>808907</v>
      </c>
      <c r="M78" s="128">
        <v>1349597</v>
      </c>
      <c r="N78" s="128">
        <v>1451788</v>
      </c>
      <c r="O78" s="128">
        <v>1416334</v>
      </c>
      <c r="P78" s="128">
        <v>1508321</v>
      </c>
      <c r="Q78" s="128">
        <v>1767860</v>
      </c>
      <c r="R78" s="128">
        <v>2278369</v>
      </c>
      <c r="S78" s="128">
        <v>1795386</v>
      </c>
      <c r="T78" s="128">
        <v>1777905</v>
      </c>
      <c r="U78" s="128">
        <v>1995818</v>
      </c>
      <c r="V78" s="128">
        <v>1965518</v>
      </c>
      <c r="W78" s="128">
        <v>1791609</v>
      </c>
      <c r="X78" s="128">
        <v>1853761</v>
      </c>
      <c r="Y78" s="128">
        <v>1773712</v>
      </c>
      <c r="Z78" s="128">
        <v>1465623</v>
      </c>
      <c r="AA78" s="128">
        <v>1819788</v>
      </c>
      <c r="AB78" s="128">
        <v>1626695</v>
      </c>
    </row>
    <row r="79" spans="1:28" ht="30.75" thickTop="1" x14ac:dyDescent="0.25">
      <c r="A79" s="142" t="s">
        <v>134</v>
      </c>
      <c r="B79" s="122" t="s">
        <v>405</v>
      </c>
      <c r="C79" s="122"/>
      <c r="D79" s="129" t="s">
        <v>396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0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0</v>
      </c>
      <c r="X79" s="130">
        <v>0</v>
      </c>
      <c r="Y79" s="130">
        <v>0</v>
      </c>
      <c r="Z79" s="130">
        <v>0</v>
      </c>
      <c r="AA79" s="130">
        <v>0</v>
      </c>
      <c r="AB79" s="130">
        <v>0</v>
      </c>
    </row>
    <row r="80" spans="1:28" ht="30" x14ac:dyDescent="0.25">
      <c r="A80" s="140" t="s">
        <v>134</v>
      </c>
      <c r="B80" s="120" t="s">
        <v>406</v>
      </c>
      <c r="C80" s="120"/>
      <c r="D80" s="125" t="s">
        <v>397</v>
      </c>
      <c r="E80" s="126">
        <v>205550</v>
      </c>
      <c r="F80" s="126">
        <v>222200</v>
      </c>
      <c r="G80" s="126">
        <v>242650</v>
      </c>
      <c r="H80" s="126">
        <v>253810</v>
      </c>
      <c r="I80" s="126">
        <v>257700</v>
      </c>
      <c r="J80" s="126">
        <v>321240</v>
      </c>
      <c r="K80" s="126">
        <v>328460</v>
      </c>
      <c r="L80" s="126">
        <v>263180</v>
      </c>
      <c r="M80" s="126">
        <v>305010</v>
      </c>
      <c r="N80" s="126">
        <v>341580</v>
      </c>
      <c r="O80" s="126">
        <v>351561</v>
      </c>
      <c r="P80" s="126">
        <v>459000</v>
      </c>
      <c r="Q80" s="126">
        <v>527120</v>
      </c>
      <c r="R80" s="126">
        <v>584490</v>
      </c>
      <c r="S80" s="126">
        <v>585830</v>
      </c>
      <c r="T80" s="126">
        <v>642950</v>
      </c>
      <c r="U80" s="126">
        <v>726192</v>
      </c>
      <c r="V80" s="126">
        <v>701430</v>
      </c>
      <c r="W80" s="126">
        <v>646180</v>
      </c>
      <c r="X80" s="126">
        <v>790650</v>
      </c>
      <c r="Y80" s="126">
        <v>855438</v>
      </c>
      <c r="Z80" s="126">
        <v>809040</v>
      </c>
      <c r="AA80" s="126">
        <v>817020</v>
      </c>
      <c r="AB80" s="126">
        <v>890620</v>
      </c>
    </row>
    <row r="81" spans="1:28" ht="30.75" thickBot="1" x14ac:dyDescent="0.3">
      <c r="A81" s="141" t="s">
        <v>134</v>
      </c>
      <c r="B81" s="121" t="s">
        <v>401</v>
      </c>
      <c r="C81" s="121"/>
      <c r="D81" s="127" t="s">
        <v>408</v>
      </c>
      <c r="E81" s="128">
        <v>205550</v>
      </c>
      <c r="F81" s="128">
        <v>222200</v>
      </c>
      <c r="G81" s="128">
        <v>242650</v>
      </c>
      <c r="H81" s="128">
        <v>253810</v>
      </c>
      <c r="I81" s="128">
        <v>257700</v>
      </c>
      <c r="J81" s="128">
        <v>321240</v>
      </c>
      <c r="K81" s="128">
        <v>328460</v>
      </c>
      <c r="L81" s="128">
        <v>263180</v>
      </c>
      <c r="M81" s="128">
        <v>305010</v>
      </c>
      <c r="N81" s="128">
        <v>341580</v>
      </c>
      <c r="O81" s="128">
        <v>351561</v>
      </c>
      <c r="P81" s="128">
        <v>459000</v>
      </c>
      <c r="Q81" s="128">
        <v>527120</v>
      </c>
      <c r="R81" s="128">
        <v>584490</v>
      </c>
      <c r="S81" s="128">
        <v>585830</v>
      </c>
      <c r="T81" s="128">
        <v>642950</v>
      </c>
      <c r="U81" s="128">
        <v>726192</v>
      </c>
      <c r="V81" s="128">
        <v>701430</v>
      </c>
      <c r="W81" s="128">
        <v>646180</v>
      </c>
      <c r="X81" s="128">
        <v>790650</v>
      </c>
      <c r="Y81" s="128">
        <v>855438</v>
      </c>
      <c r="Z81" s="128">
        <v>809040</v>
      </c>
      <c r="AA81" s="128">
        <v>817020</v>
      </c>
      <c r="AB81" s="128">
        <v>890620</v>
      </c>
    </row>
    <row r="82" spans="1:28" ht="15.75" thickTop="1" x14ac:dyDescent="0.25"/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9BCC-7764-45F4-876A-7596719B74B6}">
  <sheetPr>
    <tabColor rgb="FF00B050"/>
  </sheetPr>
  <dimension ref="A1:F18"/>
  <sheetViews>
    <sheetView workbookViewId="0">
      <selection activeCell="F18" sqref="F18"/>
    </sheetView>
  </sheetViews>
  <sheetFormatPr defaultRowHeight="15" x14ac:dyDescent="0.25"/>
  <cols>
    <col min="1" max="1" width="52.85546875" customWidth="1"/>
    <col min="2" max="2" width="28.85546875" customWidth="1"/>
  </cols>
  <sheetData>
    <row r="1" spans="1:6" x14ac:dyDescent="0.25">
      <c r="A1" s="4" t="s">
        <v>413</v>
      </c>
      <c r="B1" s="4" t="s">
        <v>414</v>
      </c>
    </row>
    <row r="3" spans="1:6" x14ac:dyDescent="0.25">
      <c r="A3" t="s">
        <v>135</v>
      </c>
      <c r="B3" s="73" t="s">
        <v>133</v>
      </c>
      <c r="C3" s="73" t="s">
        <v>24</v>
      </c>
      <c r="D3" s="73" t="s">
        <v>10</v>
      </c>
      <c r="E3" s="73" t="s">
        <v>11</v>
      </c>
      <c r="F3" s="73" t="s">
        <v>458</v>
      </c>
    </row>
    <row r="4" spans="1:6" x14ac:dyDescent="0.25">
      <c r="A4" s="103" t="s">
        <v>415</v>
      </c>
      <c r="B4" s="70" t="s">
        <v>420</v>
      </c>
      <c r="C4" s="1">
        <v>2.873827243164421</v>
      </c>
      <c r="D4" s="1">
        <v>1.6694499013254509</v>
      </c>
      <c r="E4" s="1">
        <v>2.3367158854178811</v>
      </c>
      <c r="F4" s="1">
        <v>2.6677113329339308</v>
      </c>
    </row>
    <row r="5" spans="1:6" x14ac:dyDescent="0.25">
      <c r="A5" s="103" t="s">
        <v>416</v>
      </c>
      <c r="B5" s="70" t="s">
        <v>417</v>
      </c>
      <c r="C5" s="133">
        <v>2.6205582515224606</v>
      </c>
      <c r="D5" s="133">
        <v>2.5558104313168348</v>
      </c>
      <c r="E5" s="133">
        <v>2.7209534231500982</v>
      </c>
      <c r="F5" s="133">
        <v>2.7151979045106072</v>
      </c>
    </row>
    <row r="6" spans="1:6" x14ac:dyDescent="0.25">
      <c r="A6" s="103" t="s">
        <v>418</v>
      </c>
      <c r="B6" s="70" t="s">
        <v>434</v>
      </c>
      <c r="C6" s="134">
        <v>0.55092356445455171</v>
      </c>
      <c r="D6" s="134">
        <v>0.53453179569543974</v>
      </c>
      <c r="E6" s="134">
        <v>0.57517135964419586</v>
      </c>
      <c r="F6" s="134">
        <v>0.5507460715713911</v>
      </c>
    </row>
    <row r="7" spans="1:6" x14ac:dyDescent="0.25">
      <c r="A7" s="103" t="s">
        <v>419</v>
      </c>
      <c r="B7" s="70" t="s">
        <v>417</v>
      </c>
      <c r="C7" s="134">
        <v>7.976759572608378</v>
      </c>
      <c r="D7" s="134">
        <v>7.7526473339113879</v>
      </c>
      <c r="E7" s="134">
        <v>8.3128971974686703</v>
      </c>
      <c r="F7" s="134">
        <v>8.0696736003435774</v>
      </c>
    </row>
    <row r="8" spans="1:6" x14ac:dyDescent="0.25">
      <c r="A8" s="103" t="s">
        <v>421</v>
      </c>
      <c r="B8" s="70" t="s">
        <v>422</v>
      </c>
      <c r="C8" s="133">
        <v>0.61753931275652318</v>
      </c>
      <c r="D8" s="133">
        <v>0.58350275367219639</v>
      </c>
      <c r="E8" s="133">
        <v>0.64309269808965164</v>
      </c>
      <c r="F8" s="133">
        <v>0.65053470445263761</v>
      </c>
    </row>
    <row r="9" spans="1:6" x14ac:dyDescent="0.25">
      <c r="A9" s="103" t="s">
        <v>423</v>
      </c>
      <c r="B9" s="70" t="s">
        <v>422</v>
      </c>
      <c r="C9" s="133">
        <v>8.8693691835760882E-2</v>
      </c>
      <c r="D9" s="133">
        <v>6.0208449038121788E-2</v>
      </c>
      <c r="E9" s="133">
        <v>0.11646751945751539</v>
      </c>
      <c r="F9" s="133">
        <v>0.11075795797560334</v>
      </c>
    </row>
    <row r="11" spans="1:6" x14ac:dyDescent="0.25">
      <c r="A11" s="4" t="s">
        <v>424</v>
      </c>
      <c r="B11" s="4" t="s">
        <v>425</v>
      </c>
    </row>
    <row r="13" spans="1:6" x14ac:dyDescent="0.25">
      <c r="A13" t="s">
        <v>135</v>
      </c>
      <c r="B13" s="73" t="s">
        <v>133</v>
      </c>
      <c r="C13" s="73" t="s">
        <v>24</v>
      </c>
      <c r="D13" s="73" t="s">
        <v>10</v>
      </c>
      <c r="E13" s="73" t="s">
        <v>11</v>
      </c>
      <c r="F13" s="73" t="s">
        <v>458</v>
      </c>
    </row>
    <row r="14" spans="1:6" x14ac:dyDescent="0.25">
      <c r="A14" s="103" t="s">
        <v>426</v>
      </c>
      <c r="B14" s="70" t="s">
        <v>427</v>
      </c>
      <c r="C14" s="148">
        <v>60</v>
      </c>
      <c r="D14" s="148">
        <v>47.13</v>
      </c>
      <c r="E14" s="148">
        <v>35</v>
      </c>
      <c r="F14" s="148">
        <v>19.181000000000001</v>
      </c>
    </row>
    <row r="15" spans="1:6" ht="45" x14ac:dyDescent="0.25">
      <c r="A15" s="103" t="s">
        <v>428</v>
      </c>
      <c r="B15" s="70" t="s">
        <v>429</v>
      </c>
      <c r="C15" s="149">
        <v>0.97777418557328422</v>
      </c>
      <c r="D15" s="149">
        <v>0.97777418557328422</v>
      </c>
      <c r="E15" s="149">
        <v>0.97777418557328422</v>
      </c>
      <c r="F15" s="149">
        <v>0.97777418557328422</v>
      </c>
    </row>
    <row r="16" spans="1:6" x14ac:dyDescent="0.25">
      <c r="A16" s="103" t="s">
        <v>439</v>
      </c>
      <c r="B16" s="70" t="s">
        <v>430</v>
      </c>
      <c r="C16" s="149">
        <v>-0.44901251857322605</v>
      </c>
      <c r="D16" s="149">
        <v>-0.41908480918735019</v>
      </c>
      <c r="E16" s="149">
        <v>0.39969212826492001</v>
      </c>
      <c r="F16" s="149">
        <v>0.14164984694185742</v>
      </c>
    </row>
    <row r="17" spans="1:6" x14ac:dyDescent="0.25">
      <c r="A17" s="103" t="s">
        <v>431</v>
      </c>
      <c r="B17" s="70" t="s">
        <v>430</v>
      </c>
      <c r="C17" s="149">
        <v>-0.101819139425945</v>
      </c>
      <c r="D17" s="149">
        <v>-2.80956491990276E-2</v>
      </c>
      <c r="E17" s="149">
        <v>7.2265619655708394E-2</v>
      </c>
      <c r="F17" s="149">
        <v>-2.9258583541626863E-2</v>
      </c>
    </row>
    <row r="18" spans="1:6" ht="30" x14ac:dyDescent="0.25">
      <c r="A18" s="103" t="s">
        <v>432</v>
      </c>
      <c r="B18" s="70" t="s">
        <v>433</v>
      </c>
      <c r="C18" s="149">
        <v>0.95802060722116245</v>
      </c>
      <c r="D18" s="149">
        <v>1.0682762054617509</v>
      </c>
      <c r="E18" s="149">
        <v>1.3608845853578049</v>
      </c>
      <c r="F18" s="149">
        <v>1.0511705347837226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F130-B1AB-4180-A7C6-262A66DB0BBD}">
  <sheetPr>
    <tabColor rgb="FF00B050"/>
  </sheetPr>
  <dimension ref="A2:J34"/>
  <sheetViews>
    <sheetView topLeftCell="A13" workbookViewId="0">
      <selection activeCell="I40" sqref="I40"/>
    </sheetView>
  </sheetViews>
  <sheetFormatPr defaultRowHeight="15" x14ac:dyDescent="0.25"/>
  <cols>
    <col min="1" max="1" width="20.7109375" customWidth="1"/>
    <col min="2" max="2" width="17" customWidth="1"/>
    <col min="3" max="5" width="11.5703125" customWidth="1"/>
  </cols>
  <sheetData>
    <row r="2" spans="1:10" x14ac:dyDescent="0.25">
      <c r="A2" t="s">
        <v>13</v>
      </c>
      <c r="B2" t="s">
        <v>14</v>
      </c>
    </row>
    <row r="4" spans="1:10" x14ac:dyDescent="0.25">
      <c r="A4" t="s">
        <v>0</v>
      </c>
      <c r="B4" s="1" t="s">
        <v>8</v>
      </c>
      <c r="C4" s="1" t="s">
        <v>80</v>
      </c>
      <c r="D4" s="1" t="s">
        <v>81</v>
      </c>
      <c r="E4" s="1" t="s">
        <v>82</v>
      </c>
      <c r="F4" s="1" t="s">
        <v>83</v>
      </c>
      <c r="G4" s="1" t="s">
        <v>24</v>
      </c>
      <c r="H4" s="1" t="s">
        <v>10</v>
      </c>
      <c r="I4" s="1" t="s">
        <v>11</v>
      </c>
      <c r="J4" s="1" t="s">
        <v>458</v>
      </c>
    </row>
    <row r="5" spans="1:10" x14ac:dyDescent="0.25">
      <c r="A5" t="s">
        <v>1</v>
      </c>
      <c r="B5" s="1" t="s">
        <v>9</v>
      </c>
      <c r="C5" s="3">
        <v>93235.071589000043</v>
      </c>
      <c r="D5" s="3">
        <v>60229.600409999992</v>
      </c>
      <c r="E5" s="3">
        <v>45980.614909999989</v>
      </c>
      <c r="F5" s="3">
        <v>67095.321529999987</v>
      </c>
      <c r="G5" s="3">
        <v>68246.194980000015</v>
      </c>
      <c r="H5" s="3">
        <v>57845.509470000005</v>
      </c>
      <c r="I5" s="3">
        <v>52319.318699999967</v>
      </c>
      <c r="J5" s="2">
        <v>40064.048690000032</v>
      </c>
    </row>
    <row r="6" spans="1:10" x14ac:dyDescent="0.25">
      <c r="A6" t="s">
        <v>2</v>
      </c>
      <c r="B6" s="1" t="s">
        <v>9</v>
      </c>
      <c r="C6" s="3">
        <v>781.51040000000012</v>
      </c>
      <c r="D6" s="3">
        <v>785.95000000000016</v>
      </c>
      <c r="E6" s="3">
        <v>130.63</v>
      </c>
      <c r="F6" s="3">
        <v>311.50000000000011</v>
      </c>
      <c r="G6" s="3">
        <v>245.44999999999996</v>
      </c>
      <c r="H6" s="3">
        <v>180.89999999999998</v>
      </c>
      <c r="I6" s="3">
        <v>100.87999999999998</v>
      </c>
      <c r="J6" s="2">
        <v>98.559999999999988</v>
      </c>
    </row>
    <row r="7" spans="1:10" x14ac:dyDescent="0.25">
      <c r="A7" t="s">
        <v>3</v>
      </c>
      <c r="B7" s="1" t="s">
        <v>9</v>
      </c>
      <c r="C7" s="3">
        <v>293803.69860000006</v>
      </c>
      <c r="D7" s="3">
        <v>230539.28000000006</v>
      </c>
      <c r="E7" s="3">
        <v>196669.40999999997</v>
      </c>
      <c r="F7" s="3">
        <v>299529.86</v>
      </c>
      <c r="G7" s="3">
        <v>336942.07999999996</v>
      </c>
      <c r="H7" s="3">
        <v>361852.80000000005</v>
      </c>
      <c r="I7" s="3">
        <v>373323.08</v>
      </c>
      <c r="J7" s="2">
        <v>307477.12</v>
      </c>
    </row>
    <row r="8" spans="1:10" x14ac:dyDescent="0.25">
      <c r="A8" t="s">
        <v>4</v>
      </c>
      <c r="B8" s="1" t="s">
        <v>9</v>
      </c>
      <c r="C8" s="3"/>
      <c r="D8" s="3"/>
      <c r="E8" s="3"/>
      <c r="F8" s="3">
        <v>113581.61836000001</v>
      </c>
      <c r="G8" s="3">
        <v>72215.520640000002</v>
      </c>
      <c r="H8" s="3">
        <v>59588.418879999997</v>
      </c>
      <c r="I8" s="3">
        <v>82343.255400000009</v>
      </c>
      <c r="J8" s="2">
        <v>48100.622909999998</v>
      </c>
    </row>
    <row r="9" spans="1:10" x14ac:dyDescent="0.25">
      <c r="A9" t="s">
        <v>5</v>
      </c>
      <c r="B9" s="1" t="s">
        <v>9</v>
      </c>
      <c r="C9" s="3">
        <v>4071697.7189000002</v>
      </c>
      <c r="D9" s="3">
        <v>3714180.3340000003</v>
      </c>
      <c r="E9" s="3">
        <v>3397714.9400000004</v>
      </c>
      <c r="F9" s="3">
        <v>4113117.3099999996</v>
      </c>
      <c r="G9" s="3">
        <v>4055507.1699999995</v>
      </c>
      <c r="H9" s="3">
        <v>3577988.0099999993</v>
      </c>
      <c r="I9" s="3">
        <v>3863636.5600000015</v>
      </c>
      <c r="J9" s="2">
        <v>3033375.6900000004</v>
      </c>
    </row>
    <row r="10" spans="1:10" x14ac:dyDescent="0.25">
      <c r="A10" t="s">
        <v>6</v>
      </c>
      <c r="B10" s="1" t="s">
        <v>9</v>
      </c>
      <c r="C10" s="3">
        <v>1006387.7669550002</v>
      </c>
      <c r="D10" s="3">
        <v>914244.95350000006</v>
      </c>
      <c r="E10" s="3">
        <v>823678.3359200001</v>
      </c>
      <c r="F10" s="3">
        <v>1012372.1961899998</v>
      </c>
      <c r="G10" s="3">
        <v>1049674.10332</v>
      </c>
      <c r="H10" s="3">
        <v>971099.16714999964</v>
      </c>
      <c r="I10" s="3">
        <v>1073459.9807800001</v>
      </c>
      <c r="J10" s="2">
        <v>856176.05833000003</v>
      </c>
    </row>
    <row r="11" spans="1:10" x14ac:dyDescent="0.25">
      <c r="A11" t="s">
        <v>12</v>
      </c>
      <c r="B11" s="1" t="s">
        <v>9</v>
      </c>
      <c r="C11" s="2">
        <f>SUBTOTAL(109,Tabella1[2018])</f>
        <v>5465905.7664440004</v>
      </c>
      <c r="D11" s="2">
        <f>SUBTOTAL(109,Tabella1[2019])</f>
        <v>4919980.1179100005</v>
      </c>
      <c r="E11" s="2">
        <f>SUBTOTAL(109,Tabella1[2020])</f>
        <v>4464173.9308300009</v>
      </c>
      <c r="F11" s="2">
        <f>SUBTOTAL(109,Tabella1[2021])</f>
        <v>5606007.8060799995</v>
      </c>
      <c r="G11" s="2">
        <f>SUBTOTAL(109,Tabella1[2022])</f>
        <v>5582830.5189399989</v>
      </c>
      <c r="H11" s="5">
        <f>SUBTOTAL(109,Tabella1[2023])</f>
        <v>5028554.8054999989</v>
      </c>
      <c r="I11" s="5">
        <f>SUBTOTAL(109,Tabella1[2024])</f>
        <v>5445183.0748800011</v>
      </c>
      <c r="J11" s="2">
        <f>SUBTOTAL(109,Tabella1[2025])</f>
        <v>4285292.0999300005</v>
      </c>
    </row>
    <row r="12" spans="1:10" x14ac:dyDescent="0.25">
      <c r="A12" s="4" t="s">
        <v>23</v>
      </c>
      <c r="C12" s="6">
        <v>5465905.7664440004</v>
      </c>
      <c r="D12" s="6">
        <v>4919980.1179100005</v>
      </c>
      <c r="E12" s="6">
        <v>4464173.9308300009</v>
      </c>
      <c r="F12" s="6">
        <v>5492426.1877199998</v>
      </c>
      <c r="G12" s="6">
        <v>5510614.9982999992</v>
      </c>
      <c r="H12" s="6">
        <v>4968966.3866199991</v>
      </c>
      <c r="I12" s="6">
        <v>5362839.819480001</v>
      </c>
      <c r="J12" s="6">
        <v>4237191.4770200001</v>
      </c>
    </row>
    <row r="14" spans="1:10" x14ac:dyDescent="0.25">
      <c r="A14" t="s">
        <v>26</v>
      </c>
    </row>
    <row r="16" spans="1:10" x14ac:dyDescent="0.25">
      <c r="A16" t="s">
        <v>25</v>
      </c>
      <c r="B16" t="s">
        <v>8</v>
      </c>
      <c r="C16" s="1" t="s">
        <v>80</v>
      </c>
      <c r="D16" s="1" t="s">
        <v>81</v>
      </c>
      <c r="E16" s="1" t="s">
        <v>82</v>
      </c>
      <c r="F16" s="1" t="s">
        <v>83</v>
      </c>
      <c r="G16" s="1" t="s">
        <v>24</v>
      </c>
      <c r="H16" s="1" t="s">
        <v>10</v>
      </c>
      <c r="I16" s="1" t="s">
        <v>11</v>
      </c>
      <c r="J16" s="1" t="s">
        <v>458</v>
      </c>
    </row>
    <row r="17" spans="1:10" x14ac:dyDescent="0.25">
      <c r="A17" t="s">
        <v>28</v>
      </c>
      <c r="B17" s="1" t="s">
        <v>20</v>
      </c>
      <c r="C17" s="2">
        <v>4365.5014175000006</v>
      </c>
      <c r="D17" s="2">
        <v>3944.7196140000005</v>
      </c>
      <c r="E17" s="2">
        <v>3594.3843500000007</v>
      </c>
      <c r="F17" s="2">
        <v>4412.6471700000002</v>
      </c>
      <c r="G17" s="2">
        <v>4392.4492499999988</v>
      </c>
      <c r="H17" s="2">
        <v>3939.8408099999997</v>
      </c>
      <c r="I17" s="2">
        <v>4236.9596400000019</v>
      </c>
      <c r="J17" s="2">
        <v>3340.8528100000003</v>
      </c>
    </row>
    <row r="18" spans="1:10" x14ac:dyDescent="0.25">
      <c r="A18" t="s">
        <v>27</v>
      </c>
      <c r="B18" s="1" t="s">
        <v>20</v>
      </c>
      <c r="C18" s="2">
        <v>1100.4043489440003</v>
      </c>
      <c r="D18" s="2">
        <v>975.26050391000012</v>
      </c>
      <c r="E18" s="2">
        <v>869.78958083000009</v>
      </c>
      <c r="F18" s="2">
        <v>1079.77901772</v>
      </c>
      <c r="G18" s="2">
        <v>1118.1657483000001</v>
      </c>
      <c r="H18" s="2">
        <v>1029.1255766199995</v>
      </c>
      <c r="I18" s="2">
        <v>1125.8801794800002</v>
      </c>
      <c r="J18" s="2">
        <v>896.33866702</v>
      </c>
    </row>
    <row r="19" spans="1:10" x14ac:dyDescent="0.25">
      <c r="A19" t="s">
        <v>29</v>
      </c>
      <c r="B19" s="1" t="s">
        <v>20</v>
      </c>
      <c r="C19" s="2">
        <f>SUBTOTAL(109,Tabella3[2018])</f>
        <v>5465.9057664440006</v>
      </c>
      <c r="D19" s="2">
        <f>SUBTOTAL(109,Tabella3[2019])</f>
        <v>4919.9801179100004</v>
      </c>
      <c r="E19" s="2">
        <f>SUBTOTAL(109,Tabella3[2020])</f>
        <v>4464.1739308300012</v>
      </c>
      <c r="F19" s="2">
        <f>SUBTOTAL(109,Tabella3[2021])</f>
        <v>5492.4261877200006</v>
      </c>
      <c r="G19" s="2">
        <f>SUBTOTAL(109,Tabella3[2022])</f>
        <v>5510.6149982999987</v>
      </c>
      <c r="H19" s="2">
        <f>SUBTOTAL(109,Tabella3[2023])</f>
        <v>4968.966386619999</v>
      </c>
      <c r="I19" s="2">
        <f>SUBTOTAL(109,Tabella3[2024])</f>
        <v>5362.839819480002</v>
      </c>
      <c r="J19" s="2">
        <f>SUBTOTAL(109,Tabella3[2025])</f>
        <v>4237.1914770200001</v>
      </c>
    </row>
    <row r="22" spans="1:10" x14ac:dyDescent="0.25">
      <c r="A22" t="s">
        <v>15</v>
      </c>
      <c r="B22" t="s">
        <v>16</v>
      </c>
      <c r="C22" s="7" t="s">
        <v>21</v>
      </c>
    </row>
    <row r="24" spans="1:10" x14ac:dyDescent="0.25">
      <c r="A24" t="s">
        <v>17</v>
      </c>
      <c r="B24" t="s">
        <v>8</v>
      </c>
      <c r="C24" s="1" t="s">
        <v>80</v>
      </c>
      <c r="D24" s="1" t="s">
        <v>81</v>
      </c>
      <c r="E24" s="1" t="s">
        <v>82</v>
      </c>
      <c r="F24" s="1" t="s">
        <v>83</v>
      </c>
      <c r="G24" s="1" t="s">
        <v>24</v>
      </c>
      <c r="H24" s="1" t="s">
        <v>10</v>
      </c>
      <c r="I24" s="1" t="s">
        <v>11</v>
      </c>
      <c r="J24" s="1" t="s">
        <v>458</v>
      </c>
    </row>
    <row r="25" spans="1:10" x14ac:dyDescent="0.25">
      <c r="A25" t="s">
        <v>18</v>
      </c>
      <c r="B25" s="8" t="s">
        <v>20</v>
      </c>
      <c r="C25" s="8">
        <v>2923.8253176499989</v>
      </c>
      <c r="D25" s="8">
        <v>2715.96218</v>
      </c>
      <c r="E25" s="8">
        <v>2464.6991000000003</v>
      </c>
      <c r="F25" s="8">
        <v>2921.9</v>
      </c>
      <c r="G25" s="8">
        <v>3151.0115275139933</v>
      </c>
      <c r="H25" s="8">
        <v>2868.6740794560001</v>
      </c>
      <c r="I25" s="8">
        <v>3079.7876682660008</v>
      </c>
      <c r="J25" s="8">
        <v>2878.7713921120057</v>
      </c>
    </row>
    <row r="26" spans="1:10" x14ac:dyDescent="0.25">
      <c r="A26" t="s">
        <v>19</v>
      </c>
      <c r="B26" s="8" t="s">
        <v>20</v>
      </c>
      <c r="C26" s="8">
        <v>1281.5589178410003</v>
      </c>
      <c r="D26" s="8">
        <v>1094.5729300000003</v>
      </c>
      <c r="E26" s="8">
        <v>977.33746000000019</v>
      </c>
      <c r="F26" s="8">
        <v>1235.6890000000001</v>
      </c>
      <c r="G26" s="8">
        <v>1106.4502173329993</v>
      </c>
      <c r="H26" s="8">
        <v>1029.616006897</v>
      </c>
      <c r="I26" s="8">
        <v>1020.4112732440002</v>
      </c>
      <c r="J26" s="8">
        <v>990.83768911000027</v>
      </c>
    </row>
    <row r="27" spans="1:10" x14ac:dyDescent="0.25">
      <c r="A27" t="s">
        <v>12</v>
      </c>
      <c r="B27" s="8" t="s">
        <v>20</v>
      </c>
      <c r="C27" s="8">
        <f>SUBTOTAL(109,Tabella2[2018])</f>
        <v>4205.3842354909993</v>
      </c>
      <c r="D27" s="8">
        <f>SUBTOTAL(109,Tabella2[2019])</f>
        <v>3810.5351100000003</v>
      </c>
      <c r="E27" s="8">
        <f>SUBTOTAL(109,Tabella2[2020])</f>
        <v>3442.0365600000005</v>
      </c>
      <c r="F27" s="8">
        <f>SUBTOTAL(109,Tabella2[2021])</f>
        <v>4157.5889999999999</v>
      </c>
      <c r="G27" s="8">
        <f>SUBTOTAL(109,Tabella2[2022])</f>
        <v>4257.4617448469926</v>
      </c>
      <c r="H27" s="8">
        <f>SUBTOTAL(109,Tabella2[2023])</f>
        <v>3898.2900863530003</v>
      </c>
      <c r="I27" s="8">
        <f>SUBTOTAL(109,Tabella2[2024])</f>
        <v>4100.1989415100006</v>
      </c>
      <c r="J27" s="8">
        <f>SUBTOTAL(109,Tabella2[2025])</f>
        <v>3869.6090812220059</v>
      </c>
    </row>
    <row r="29" spans="1:10" x14ac:dyDescent="0.25">
      <c r="A29" t="s">
        <v>450</v>
      </c>
    </row>
    <row r="31" spans="1:10" x14ac:dyDescent="0.25">
      <c r="A31" t="s">
        <v>135</v>
      </c>
      <c r="B31" t="s">
        <v>8</v>
      </c>
      <c r="C31" s="1" t="s">
        <v>80</v>
      </c>
      <c r="D31" s="1" t="s">
        <v>81</v>
      </c>
      <c r="E31" s="1" t="s">
        <v>82</v>
      </c>
      <c r="F31" s="1" t="s">
        <v>83</v>
      </c>
      <c r="G31" s="1" t="s">
        <v>24</v>
      </c>
      <c r="H31" s="1" t="s">
        <v>10</v>
      </c>
      <c r="I31" s="1" t="s">
        <v>11</v>
      </c>
      <c r="J31" s="1" t="s">
        <v>458</v>
      </c>
    </row>
    <row r="32" spans="1:10" ht="30" x14ac:dyDescent="0.25">
      <c r="A32" s="103" t="s">
        <v>451</v>
      </c>
      <c r="B32" s="102" t="s">
        <v>131</v>
      </c>
      <c r="C32" s="134">
        <v>1.2997399192004697</v>
      </c>
      <c r="D32" s="134">
        <v>1.2911520235041214</v>
      </c>
      <c r="E32" s="134">
        <v>1.2969571510971982</v>
      </c>
      <c r="F32" s="134">
        <v>1.3210604000828365</v>
      </c>
      <c r="G32" s="134">
        <v>1.2943428100017003</v>
      </c>
      <c r="H32" s="134">
        <v>1.2746528032932145</v>
      </c>
      <c r="I32" s="134">
        <v>1.3079462474825678</v>
      </c>
      <c r="J32" s="134">
        <v>1.0949921266160336</v>
      </c>
    </row>
    <row r="33" spans="1:10" ht="30" x14ac:dyDescent="0.25">
      <c r="A33" s="76" t="s">
        <v>453</v>
      </c>
      <c r="B33" s="102" t="s">
        <v>130</v>
      </c>
      <c r="C33" s="134">
        <v>445.41890664800007</v>
      </c>
      <c r="D33" s="134">
        <v>398.29277959999996</v>
      </c>
      <c r="E33" s="134">
        <v>354.74322030000002</v>
      </c>
      <c r="F33" s="134">
        <v>420.88345259999994</v>
      </c>
      <c r="G33" s="134">
        <v>403.53301729999998</v>
      </c>
      <c r="H33" s="134">
        <v>342.08044589999997</v>
      </c>
      <c r="I33" s="134">
        <v>371.61232550000005</v>
      </c>
      <c r="J33" s="134">
        <v>283.53813610000009</v>
      </c>
    </row>
    <row r="34" spans="1:10" ht="45" x14ac:dyDescent="0.25">
      <c r="A34" s="103" t="s">
        <v>452</v>
      </c>
      <c r="B34" s="102" t="s">
        <v>131</v>
      </c>
      <c r="C34" s="134">
        <v>1.1938235791692964</v>
      </c>
      <c r="D34" s="134">
        <v>1.1866279164949092</v>
      </c>
      <c r="E34" s="134">
        <v>1.1938951370493289</v>
      </c>
      <c r="F34" s="134">
        <v>1.219827822115173</v>
      </c>
      <c r="G34" s="134">
        <v>1.199560274894153</v>
      </c>
      <c r="H34" s="134">
        <v>1.186901394772452</v>
      </c>
      <c r="I34" s="134">
        <v>1.2173134926330813</v>
      </c>
      <c r="J34" s="134">
        <v>1.0217190568695516</v>
      </c>
    </row>
  </sheetData>
  <phoneticPr fontId="8" type="noConversion"/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DF88-680A-448D-AF4C-1B0EFB76F498}">
  <sheetPr>
    <tabColor rgb="FF00B050"/>
  </sheetPr>
  <dimension ref="A1:N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0" sqref="N20:N22"/>
    </sheetView>
  </sheetViews>
  <sheetFormatPr defaultColWidth="9.140625" defaultRowHeight="12.75" x14ac:dyDescent="0.2"/>
  <cols>
    <col min="1" max="1" width="9.140625" style="11"/>
    <col min="2" max="2" width="17.28515625" style="11" bestFit="1" customWidth="1"/>
    <col min="3" max="14" width="12.140625" style="11" customWidth="1"/>
    <col min="15" max="16384" width="9.140625" style="11"/>
  </cols>
  <sheetData>
    <row r="1" spans="1:14" ht="26.25" customHeight="1" x14ac:dyDescent="0.2">
      <c r="A1" s="159" t="s">
        <v>30</v>
      </c>
      <c r="B1" s="160"/>
      <c r="C1" s="160"/>
      <c r="D1" s="160"/>
      <c r="E1" s="160"/>
      <c r="F1" s="160"/>
      <c r="G1" s="160"/>
      <c r="H1" s="160"/>
    </row>
    <row r="2" spans="1:14" ht="19.5" customHeight="1" x14ac:dyDescent="0.2">
      <c r="A2" s="11" t="s">
        <v>85</v>
      </c>
      <c r="B2" s="18" t="s">
        <v>31</v>
      </c>
      <c r="C2" s="12" t="s">
        <v>76</v>
      </c>
      <c r="D2" s="12" t="s">
        <v>77</v>
      </c>
      <c r="E2" s="12" t="s">
        <v>78</v>
      </c>
      <c r="F2" s="12" t="s">
        <v>79</v>
      </c>
      <c r="G2" s="12" t="s">
        <v>80</v>
      </c>
      <c r="H2" s="12" t="s">
        <v>81</v>
      </c>
      <c r="I2" s="12" t="s">
        <v>82</v>
      </c>
      <c r="J2" s="12" t="s">
        <v>83</v>
      </c>
      <c r="K2" s="12" t="s">
        <v>24</v>
      </c>
      <c r="L2" s="19" t="s">
        <v>10</v>
      </c>
      <c r="M2" s="26" t="s">
        <v>11</v>
      </c>
      <c r="N2" s="26" t="s">
        <v>458</v>
      </c>
    </row>
    <row r="3" spans="1:14" ht="19.5" customHeight="1" x14ac:dyDescent="0.2">
      <c r="A3" s="13" t="s">
        <v>7</v>
      </c>
      <c r="B3" s="14" t="s">
        <v>32</v>
      </c>
      <c r="C3" s="15">
        <v>178231.04000000001</v>
      </c>
      <c r="D3" s="15">
        <v>159319.21199999997</v>
      </c>
      <c r="E3" s="15">
        <v>156708.91</v>
      </c>
      <c r="F3" s="15">
        <v>165046.29</v>
      </c>
      <c r="G3" s="15">
        <v>221165.76350000006</v>
      </c>
      <c r="H3" s="15">
        <v>162090.1</v>
      </c>
      <c r="I3" s="15">
        <v>118203.22</v>
      </c>
      <c r="J3" s="15">
        <v>184277</v>
      </c>
      <c r="K3" s="15">
        <v>171734.42700000008</v>
      </c>
      <c r="L3" s="20">
        <v>150466.76399999988</v>
      </c>
      <c r="M3" s="25">
        <v>135991.30599999995</v>
      </c>
      <c r="N3" s="177">
        <v>124321.85329999994</v>
      </c>
    </row>
    <row r="4" spans="1:14" ht="19.5" customHeight="1" x14ac:dyDescent="0.2">
      <c r="A4" s="13" t="s">
        <v>33</v>
      </c>
      <c r="B4" s="14" t="s">
        <v>34</v>
      </c>
      <c r="C4" s="15">
        <v>15197.92</v>
      </c>
      <c r="D4" s="15">
        <v>20005.905056</v>
      </c>
      <c r="E4" s="15">
        <v>9239.11</v>
      </c>
      <c r="F4" s="15">
        <v>11474.99</v>
      </c>
      <c r="G4" s="15">
        <v>7607.6684850000011</v>
      </c>
      <c r="H4" s="15">
        <v>129.07</v>
      </c>
      <c r="I4" s="15">
        <v>96.21</v>
      </c>
      <c r="J4" s="15">
        <v>46</v>
      </c>
      <c r="K4" s="15">
        <v>52.403230000000008</v>
      </c>
      <c r="L4" s="20">
        <v>52.296969999999995</v>
      </c>
      <c r="M4" s="15">
        <v>46.593409999999999</v>
      </c>
      <c r="N4" s="176">
        <v>62.343379999999996</v>
      </c>
    </row>
    <row r="5" spans="1:14" ht="19.5" customHeight="1" x14ac:dyDescent="0.2">
      <c r="A5" s="13" t="s">
        <v>35</v>
      </c>
      <c r="B5" s="14" t="s">
        <v>36</v>
      </c>
      <c r="C5" s="15">
        <v>1030.24</v>
      </c>
      <c r="D5" s="15">
        <v>1250.5524499999999</v>
      </c>
      <c r="E5" s="15">
        <v>1030.92</v>
      </c>
      <c r="F5" s="15">
        <v>1170.8499999999999</v>
      </c>
      <c r="G5" s="15">
        <v>1015.15901</v>
      </c>
      <c r="H5" s="15">
        <v>1066.05</v>
      </c>
      <c r="I5" s="15">
        <v>1422.38</v>
      </c>
      <c r="J5" s="15">
        <v>2354</v>
      </c>
      <c r="K5" s="15">
        <v>1141.5056100000002</v>
      </c>
      <c r="L5" s="20">
        <v>1093.6614500000001</v>
      </c>
      <c r="M5" s="15">
        <v>1056.4941099999999</v>
      </c>
      <c r="N5" s="176">
        <v>584.9860699999997</v>
      </c>
    </row>
    <row r="6" spans="1:14" ht="19.5" customHeight="1" x14ac:dyDescent="0.2">
      <c r="A6" s="13" t="s">
        <v>37</v>
      </c>
      <c r="B6" s="14" t="s">
        <v>38</v>
      </c>
      <c r="C6" s="15">
        <v>103796.23</v>
      </c>
      <c r="D6" s="15">
        <v>115087.8475</v>
      </c>
      <c r="E6" s="15">
        <v>129593.27</v>
      </c>
      <c r="F6" s="15">
        <v>130963.87</v>
      </c>
      <c r="G6" s="15">
        <v>152576.63219000024</v>
      </c>
      <c r="H6" s="15">
        <v>131614.66</v>
      </c>
      <c r="I6" s="15">
        <v>119156.2</v>
      </c>
      <c r="J6" s="15">
        <v>140221</v>
      </c>
      <c r="K6" s="15">
        <v>142246.22679999951</v>
      </c>
      <c r="L6" s="20">
        <v>132039.41274999967</v>
      </c>
      <c r="M6" s="15">
        <v>122895.06170000002</v>
      </c>
      <c r="N6" s="176">
        <v>107979.14679999994</v>
      </c>
    </row>
    <row r="7" spans="1:14" ht="19.5" customHeight="1" x14ac:dyDescent="0.2">
      <c r="A7" s="13" t="s">
        <v>39</v>
      </c>
      <c r="B7" s="14" t="s">
        <v>40</v>
      </c>
      <c r="C7" s="15">
        <v>101139.85</v>
      </c>
      <c r="D7" s="15">
        <v>99844.908399999986</v>
      </c>
      <c r="E7" s="15">
        <v>94886.49</v>
      </c>
      <c r="F7" s="15">
        <v>103446.38</v>
      </c>
      <c r="G7" s="15">
        <v>101640.71960000003</v>
      </c>
      <c r="H7" s="15">
        <v>77071.05</v>
      </c>
      <c r="I7" s="15">
        <v>87948.78</v>
      </c>
      <c r="J7" s="15">
        <v>113115</v>
      </c>
      <c r="K7" s="15">
        <v>101178.10350000045</v>
      </c>
      <c r="L7" s="20">
        <v>64208.955500000295</v>
      </c>
      <c r="M7" s="15">
        <v>78630.860500000417</v>
      </c>
      <c r="N7" s="176">
        <v>86653.483000000298</v>
      </c>
    </row>
    <row r="8" spans="1:14" ht="19.5" customHeight="1" x14ac:dyDescent="0.2">
      <c r="A8" s="13" t="s">
        <v>41</v>
      </c>
      <c r="B8" s="14" t="s">
        <v>42</v>
      </c>
      <c r="C8" s="15">
        <v>39484.44</v>
      </c>
      <c r="D8" s="15">
        <v>43781.393400000001</v>
      </c>
      <c r="E8" s="15">
        <v>42361.57</v>
      </c>
      <c r="F8" s="15">
        <v>55880.480000000003</v>
      </c>
      <c r="G8" s="15">
        <v>63328.907500000001</v>
      </c>
      <c r="H8" s="15">
        <v>34029.01</v>
      </c>
      <c r="I8" s="15">
        <v>37984.44</v>
      </c>
      <c r="J8" s="15">
        <v>55226</v>
      </c>
      <c r="K8" s="15">
        <v>39462.374999999993</v>
      </c>
      <c r="L8" s="20">
        <v>36914.917499999996</v>
      </c>
      <c r="M8" s="15">
        <v>32994.14699999999</v>
      </c>
      <c r="N8" s="176">
        <v>35810.091999999997</v>
      </c>
    </row>
    <row r="9" spans="1:14" ht="19.5" customHeight="1" x14ac:dyDescent="0.2">
      <c r="A9" s="13" t="s">
        <v>43</v>
      </c>
      <c r="B9" s="14" t="s">
        <v>44</v>
      </c>
      <c r="C9" s="15">
        <v>90541.28</v>
      </c>
      <c r="D9" s="15">
        <v>113445.33304999997</v>
      </c>
      <c r="E9" s="15">
        <v>78992.31</v>
      </c>
      <c r="F9" s="15">
        <v>99340.46</v>
      </c>
      <c r="G9" s="15">
        <v>109936.66200999997</v>
      </c>
      <c r="H9" s="15">
        <v>84647.42</v>
      </c>
      <c r="I9" s="15">
        <v>83468.210000000006</v>
      </c>
      <c r="J9" s="15">
        <v>113353</v>
      </c>
      <c r="K9" s="15">
        <v>77836.782699999982</v>
      </c>
      <c r="L9" s="20">
        <v>69642.312359999996</v>
      </c>
      <c r="M9" s="15">
        <v>78003.247099999993</v>
      </c>
      <c r="N9" s="176">
        <v>55806.678429999993</v>
      </c>
    </row>
    <row r="10" spans="1:14" ht="19.5" customHeight="1" x14ac:dyDescent="0.2">
      <c r="A10" s="13" t="s">
        <v>45</v>
      </c>
      <c r="B10" s="14" t="s">
        <v>46</v>
      </c>
      <c r="C10" s="15"/>
      <c r="D10" s="15"/>
      <c r="E10" s="15"/>
      <c r="F10" s="15"/>
      <c r="G10" s="15"/>
      <c r="H10" s="15">
        <v>2688.1</v>
      </c>
      <c r="I10" s="15">
        <v>0</v>
      </c>
      <c r="J10" s="15">
        <v>862</v>
      </c>
      <c r="K10" s="15">
        <v>1719.6</v>
      </c>
      <c r="L10" s="20">
        <v>1144.5</v>
      </c>
      <c r="M10" s="15">
        <v>2090.5</v>
      </c>
      <c r="N10" s="176">
        <v>1531.8</v>
      </c>
    </row>
    <row r="11" spans="1:14" ht="19.5" customHeight="1" x14ac:dyDescent="0.2">
      <c r="A11" s="13" t="s">
        <v>47</v>
      </c>
      <c r="B11" s="14" t="s">
        <v>48</v>
      </c>
      <c r="C11" s="15">
        <v>19542.169999999998</v>
      </c>
      <c r="D11" s="15">
        <v>21807.564215000006</v>
      </c>
      <c r="E11" s="15">
        <v>14655.86</v>
      </c>
      <c r="F11" s="15">
        <v>18972.91</v>
      </c>
      <c r="G11" s="15">
        <v>19155.913235000004</v>
      </c>
      <c r="H11" s="15">
        <v>17217.05</v>
      </c>
      <c r="I11" s="15">
        <v>13118.62</v>
      </c>
      <c r="J11" s="15">
        <v>11374</v>
      </c>
      <c r="K11" s="15">
        <v>14063.997199999993</v>
      </c>
      <c r="L11" s="20">
        <v>11566.800689999996</v>
      </c>
      <c r="M11" s="15">
        <v>6291.227960000002</v>
      </c>
      <c r="N11" s="176">
        <v>10265.732269999999</v>
      </c>
    </row>
    <row r="12" spans="1:14" ht="19.5" customHeight="1" x14ac:dyDescent="0.2">
      <c r="A12" s="13" t="s">
        <v>49</v>
      </c>
      <c r="B12" s="14" t="s">
        <v>50</v>
      </c>
      <c r="C12" s="15">
        <v>2215680.9900000002</v>
      </c>
      <c r="D12" s="15">
        <v>2507985.0294199977</v>
      </c>
      <c r="E12" s="15">
        <v>2594592.0299999998</v>
      </c>
      <c r="F12" s="15">
        <v>2947061.97</v>
      </c>
      <c r="G12" s="15">
        <v>2923825.3176499987</v>
      </c>
      <c r="H12" s="15">
        <v>2715962.18</v>
      </c>
      <c r="I12" s="15">
        <v>2464699.1</v>
      </c>
      <c r="J12" s="15">
        <v>2921900</v>
      </c>
      <c r="K12" s="15">
        <v>3151011.5275139934</v>
      </c>
      <c r="L12" s="20">
        <v>2868674.0794560001</v>
      </c>
      <c r="M12" s="15">
        <v>3079787.6682660007</v>
      </c>
      <c r="N12" s="176">
        <v>2878771.392112006</v>
      </c>
    </row>
    <row r="13" spans="1:14" ht="19.5" customHeight="1" x14ac:dyDescent="0.2">
      <c r="A13" s="13" t="s">
        <v>51</v>
      </c>
      <c r="B13" s="14" t="s">
        <v>52</v>
      </c>
      <c r="C13" s="15">
        <v>13124.49</v>
      </c>
      <c r="D13" s="15">
        <v>14854.169492000005</v>
      </c>
      <c r="E13" s="15">
        <v>13417.06</v>
      </c>
      <c r="F13" s="15">
        <v>11598.99</v>
      </c>
      <c r="G13" s="15">
        <v>15795.776681000003</v>
      </c>
      <c r="H13" s="15">
        <v>9791.39</v>
      </c>
      <c r="I13" s="15">
        <v>7938.03</v>
      </c>
      <c r="J13" s="15">
        <v>11493</v>
      </c>
      <c r="K13" s="15">
        <v>12247.075692999995</v>
      </c>
      <c r="L13" s="20">
        <v>10439.598541000005</v>
      </c>
      <c r="M13" s="15">
        <v>9549.6352989999996</v>
      </c>
      <c r="N13" s="176">
        <v>5146.1056879999978</v>
      </c>
    </row>
    <row r="14" spans="1:14" ht="19.5" customHeight="1" x14ac:dyDescent="0.2">
      <c r="A14" s="13" t="s">
        <v>53</v>
      </c>
      <c r="B14" s="14" t="s">
        <v>54</v>
      </c>
      <c r="C14" s="15">
        <v>320602.32</v>
      </c>
      <c r="D14" s="15">
        <v>397562.39030000009</v>
      </c>
      <c r="E14" s="15">
        <v>371132.42</v>
      </c>
      <c r="F14" s="15">
        <v>400267.9</v>
      </c>
      <c r="G14" s="15">
        <v>409311.15984999988</v>
      </c>
      <c r="H14" s="15">
        <v>436393</v>
      </c>
      <c r="I14" s="15">
        <v>398652.49</v>
      </c>
      <c r="J14" s="15">
        <v>454253</v>
      </c>
      <c r="K14" s="15">
        <v>395823.69669999921</v>
      </c>
      <c r="L14" s="20">
        <v>411944.02603800048</v>
      </c>
      <c r="M14" s="15">
        <v>445403.8476299998</v>
      </c>
      <c r="N14" s="176">
        <v>436503.66535000008</v>
      </c>
    </row>
    <row r="15" spans="1:14" ht="19.5" customHeight="1" x14ac:dyDescent="0.2">
      <c r="A15" s="21" t="s">
        <v>55</v>
      </c>
      <c r="B15" s="22" t="s">
        <v>56</v>
      </c>
      <c r="C15" s="23">
        <v>227155.71</v>
      </c>
      <c r="D15" s="23">
        <v>164898.95808329998</v>
      </c>
      <c r="E15" s="23">
        <v>186864.65</v>
      </c>
      <c r="F15" s="23">
        <v>228551.03</v>
      </c>
      <c r="G15" s="23">
        <v>243353.46327999994</v>
      </c>
      <c r="H15" s="23">
        <v>171865.04</v>
      </c>
      <c r="I15" s="23">
        <v>147333.32</v>
      </c>
      <c r="J15" s="23">
        <v>204341</v>
      </c>
      <c r="K15" s="23">
        <v>188406.3989</v>
      </c>
      <c r="L15" s="24">
        <v>177017.67859799982</v>
      </c>
      <c r="M15" s="23">
        <v>140452.49953499992</v>
      </c>
      <c r="N15" s="178">
        <v>161981.89482199997</v>
      </c>
    </row>
    <row r="16" spans="1:14" ht="19.5" customHeight="1" x14ac:dyDescent="0.2">
      <c r="A16" s="161" t="s">
        <v>57</v>
      </c>
      <c r="B16" s="161"/>
      <c r="C16" s="16">
        <v>3325526.68</v>
      </c>
      <c r="D16" s="16">
        <v>3659843.2633662974</v>
      </c>
      <c r="E16" s="16">
        <v>3693474.5999999996</v>
      </c>
      <c r="F16" s="16">
        <v>4173776.12</v>
      </c>
      <c r="G16" s="16">
        <v>4268713.1429909989</v>
      </c>
      <c r="H16" s="16">
        <v>3844564.12</v>
      </c>
      <c r="I16" s="16">
        <v>3480020.9999999995</v>
      </c>
      <c r="J16" s="16">
        <v>4212815</v>
      </c>
      <c r="K16" s="16">
        <v>4296924.1198469931</v>
      </c>
      <c r="L16" s="16">
        <v>3935205.0038529998</v>
      </c>
      <c r="M16" s="16">
        <v>4133193.0885100006</v>
      </c>
      <c r="N16" s="175">
        <f>SUBTOTAL(109,Tabella6[2025])</f>
        <v>3905419.1732220063</v>
      </c>
    </row>
    <row r="17" spans="1:14" ht="19.5" customHeight="1" x14ac:dyDescent="0.2">
      <c r="A17" s="162" t="s">
        <v>58</v>
      </c>
      <c r="B17" s="163"/>
      <c r="C17" s="16">
        <v>3286042.24</v>
      </c>
      <c r="D17" s="16">
        <v>3616061.8699662974</v>
      </c>
      <c r="E17" s="16">
        <v>3651113.03</v>
      </c>
      <c r="F17" s="16">
        <v>4117895.64</v>
      </c>
      <c r="G17" s="16">
        <v>4205384.2354909992</v>
      </c>
      <c r="H17" s="16">
        <v>3810535.1100000003</v>
      </c>
      <c r="I17" s="16">
        <v>3442036.5599999996</v>
      </c>
      <c r="J17" s="16">
        <v>4157589</v>
      </c>
      <c r="K17" s="16">
        <v>4257461.7448469931</v>
      </c>
      <c r="L17" s="16">
        <v>3898290.0863529998</v>
      </c>
      <c r="M17" s="16">
        <v>4100198.9415100007</v>
      </c>
      <c r="N17" s="16">
        <f>N16-N8</f>
        <v>3869609.0812220061</v>
      </c>
    </row>
    <row r="18" spans="1:14" ht="19.5" customHeight="1" x14ac:dyDescent="0.2">
      <c r="A18" s="9"/>
      <c r="B18" s="9"/>
      <c r="C18" s="9"/>
      <c r="D18" s="9"/>
      <c r="E18" s="9"/>
      <c r="F18" s="9"/>
      <c r="G18" s="9"/>
      <c r="H18" s="9"/>
    </row>
    <row r="19" spans="1:14" ht="19.5" customHeight="1" x14ac:dyDescent="0.2">
      <c r="A19" s="10" t="s">
        <v>15</v>
      </c>
      <c r="B19" s="10" t="s">
        <v>16</v>
      </c>
      <c r="C19" s="9"/>
      <c r="D19" s="9"/>
      <c r="E19" s="9"/>
      <c r="F19" s="9"/>
      <c r="G19" s="9"/>
      <c r="H19" s="9"/>
    </row>
    <row r="20" spans="1:14" s="9" customFormat="1" ht="16.5" customHeight="1" x14ac:dyDescent="0.25">
      <c r="A20" s="158" t="s">
        <v>59</v>
      </c>
      <c r="B20" s="158"/>
      <c r="C20" s="17">
        <v>2215.6809900000003</v>
      </c>
      <c r="D20" s="17">
        <v>2507.9850294199978</v>
      </c>
      <c r="E20" s="17">
        <v>2594.5920299999998</v>
      </c>
      <c r="F20" s="17">
        <v>2947.0619700000002</v>
      </c>
      <c r="G20" s="17">
        <v>2923.8253176499989</v>
      </c>
      <c r="H20" s="17">
        <v>2715.96218</v>
      </c>
      <c r="I20" s="17">
        <v>2464.6991000000003</v>
      </c>
      <c r="J20" s="17">
        <v>2921.9</v>
      </c>
      <c r="K20" s="17">
        <v>3151.0115275139933</v>
      </c>
      <c r="L20" s="17">
        <v>2868.6740794560001</v>
      </c>
      <c r="M20" s="17">
        <v>3079.7876682660008</v>
      </c>
      <c r="N20" s="17">
        <v>2878.7713921120057</v>
      </c>
    </row>
    <row r="21" spans="1:14" s="9" customFormat="1" ht="16.5" customHeight="1" x14ac:dyDescent="0.25">
      <c r="A21" s="158" t="s">
        <v>60</v>
      </c>
      <c r="B21" s="158"/>
      <c r="C21" s="17">
        <v>1070.3612499999999</v>
      </c>
      <c r="D21" s="17">
        <v>1108.0768405463</v>
      </c>
      <c r="E21" s="17">
        <v>1056.521</v>
      </c>
      <c r="F21" s="17">
        <v>1170.83367</v>
      </c>
      <c r="G21" s="17">
        <v>1281.5589178410003</v>
      </c>
      <c r="H21" s="17">
        <v>1094.5729300000003</v>
      </c>
      <c r="I21" s="17">
        <v>977.33746000000019</v>
      </c>
      <c r="J21" s="17">
        <v>1235.6890000000001</v>
      </c>
      <c r="K21" s="17">
        <v>1106.4502173329993</v>
      </c>
      <c r="L21" s="17">
        <v>1029.616006897</v>
      </c>
      <c r="M21" s="17">
        <v>1020.4112732440002</v>
      </c>
      <c r="N21" s="17">
        <v>990.83768911000027</v>
      </c>
    </row>
    <row r="22" spans="1:14" ht="18.75" customHeight="1" x14ac:dyDescent="0.2">
      <c r="A22" s="158" t="s">
        <v>61</v>
      </c>
      <c r="B22" s="158"/>
      <c r="C22" s="17">
        <v>3286.0422400000002</v>
      </c>
      <c r="D22" s="17">
        <v>3616.0618699662978</v>
      </c>
      <c r="E22" s="17">
        <v>3651.1130299999995</v>
      </c>
      <c r="F22" s="17">
        <v>4117.8956400000006</v>
      </c>
      <c r="G22" s="17">
        <v>4205.3842354909993</v>
      </c>
      <c r="H22" s="17">
        <v>3810.5351100000003</v>
      </c>
      <c r="I22" s="17">
        <v>3442.0365600000005</v>
      </c>
      <c r="J22" s="17">
        <v>4157.5889999999999</v>
      </c>
      <c r="K22" s="17">
        <v>4257.4617448469926</v>
      </c>
      <c r="L22" s="17">
        <v>3898.2900863530003</v>
      </c>
      <c r="M22" s="17">
        <v>4100.1989415100006</v>
      </c>
      <c r="N22" s="17">
        <v>3869.6090812220059</v>
      </c>
    </row>
  </sheetData>
  <mergeCells count="6">
    <mergeCell ref="A22:B22"/>
    <mergeCell ref="A1:H1"/>
    <mergeCell ref="A16:B16"/>
    <mergeCell ref="A17:B17"/>
    <mergeCell ref="A20:B20"/>
    <mergeCell ref="A21:B21"/>
  </mergeCells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6BC3-418C-47C0-8F00-82B3EB70C4DE}">
  <sheetPr>
    <tabColor rgb="FF00B050"/>
  </sheetPr>
  <dimension ref="A1:I25"/>
  <sheetViews>
    <sheetView zoomScaleNormal="100" workbookViewId="0">
      <selection activeCell="I4" sqref="I4:I7"/>
    </sheetView>
  </sheetViews>
  <sheetFormatPr defaultColWidth="9.140625" defaultRowHeight="12.75" x14ac:dyDescent="0.2"/>
  <cols>
    <col min="1" max="1" width="43.5703125" style="11" bestFit="1" customWidth="1"/>
    <col min="2" max="2" width="11.7109375" style="11" customWidth="1"/>
    <col min="3" max="9" width="10.28515625" style="11" customWidth="1"/>
    <col min="10" max="16384" width="9.140625" style="11"/>
  </cols>
  <sheetData>
    <row r="1" spans="1:9" x14ac:dyDescent="0.2">
      <c r="A1" s="72" t="s">
        <v>114</v>
      </c>
    </row>
    <row r="3" spans="1:9" x14ac:dyDescent="0.2">
      <c r="A3" s="32" t="s">
        <v>62</v>
      </c>
      <c r="B3" s="32" t="s">
        <v>93</v>
      </c>
      <c r="C3" s="69" t="s">
        <v>81</v>
      </c>
      <c r="D3" s="69" t="s">
        <v>82</v>
      </c>
      <c r="E3" s="69" t="s">
        <v>83</v>
      </c>
      <c r="F3" s="69" t="s">
        <v>24</v>
      </c>
      <c r="G3" s="69" t="s">
        <v>10</v>
      </c>
      <c r="H3" s="69" t="s">
        <v>11</v>
      </c>
      <c r="I3" s="179" t="s">
        <v>458</v>
      </c>
    </row>
    <row r="4" spans="1:9" x14ac:dyDescent="0.2">
      <c r="A4" s="11" t="s">
        <v>86</v>
      </c>
      <c r="B4" s="11" t="s">
        <v>89</v>
      </c>
      <c r="C4" s="29">
        <v>5.5</v>
      </c>
      <c r="D4" s="29">
        <v>7.07</v>
      </c>
      <c r="E4" s="28">
        <v>30</v>
      </c>
      <c r="F4" s="28">
        <v>60</v>
      </c>
      <c r="G4" s="28">
        <v>47.13</v>
      </c>
      <c r="H4" s="11">
        <v>35</v>
      </c>
      <c r="I4" s="28">
        <v>19.181000000000001</v>
      </c>
    </row>
    <row r="5" spans="1:9" x14ac:dyDescent="0.2">
      <c r="A5" s="11" t="s">
        <v>87</v>
      </c>
      <c r="B5" s="11" t="s">
        <v>90</v>
      </c>
      <c r="C5" s="30">
        <v>1.4433668346386133</v>
      </c>
      <c r="D5" s="30">
        <v>2.0540165325844186</v>
      </c>
      <c r="E5" s="30">
        <v>7.2157204572169116</v>
      </c>
      <c r="F5" s="30">
        <v>14.092904081315783</v>
      </c>
      <c r="G5" s="30">
        <v>12.089916080127306</v>
      </c>
      <c r="H5" s="30">
        <v>8.5361711710286858</v>
      </c>
      <c r="I5" s="189">
        <v>4.9568314518071999</v>
      </c>
    </row>
    <row r="6" spans="1:9" x14ac:dyDescent="0.2">
      <c r="A6" s="11" t="s">
        <v>63</v>
      </c>
      <c r="D6" s="31">
        <v>0.42307311162425204</v>
      </c>
      <c r="E6" s="31">
        <v>2.5129807101103991</v>
      </c>
      <c r="F6" s="31">
        <v>0.95308343288445341</v>
      </c>
      <c r="G6" s="31">
        <v>-0.14212741317412472</v>
      </c>
      <c r="H6" s="31">
        <v>-0.29394289303133025</v>
      </c>
      <c r="I6" s="190">
        <v>-0.419314426515904</v>
      </c>
    </row>
    <row r="7" spans="1:9" x14ac:dyDescent="0.2">
      <c r="A7" s="11" t="s">
        <v>88</v>
      </c>
      <c r="B7" s="11" t="s">
        <v>89</v>
      </c>
      <c r="C7" s="33">
        <v>3810.5351100000003</v>
      </c>
      <c r="D7" s="33">
        <v>3442.0365600000005</v>
      </c>
      <c r="E7" s="33">
        <v>4157.5889999999999</v>
      </c>
      <c r="F7" s="33">
        <v>4257.4617448469926</v>
      </c>
      <c r="G7" s="33">
        <v>3898.2900863530003</v>
      </c>
      <c r="H7" s="33">
        <v>4100.1989415100006</v>
      </c>
      <c r="I7" s="33">
        <v>3869.6090812220059</v>
      </c>
    </row>
    <row r="9" spans="1:9" ht="38.25" customHeight="1" x14ac:dyDescent="0.2"/>
    <row r="10" spans="1:9" x14ac:dyDescent="0.2">
      <c r="A10" s="27" t="s">
        <v>91</v>
      </c>
      <c r="B10" s="27"/>
      <c r="C10" s="27"/>
    </row>
    <row r="11" spans="1:9" x14ac:dyDescent="0.2">
      <c r="A11" s="11" t="s">
        <v>92</v>
      </c>
    </row>
    <row r="24" ht="26.25" customHeight="1" x14ac:dyDescent="0.2"/>
    <row r="25" ht="13.5" customHeight="1" x14ac:dyDescent="0.2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938C-A2E9-4FF1-9435-F8B2A1FD0874}">
  <sheetPr>
    <tabColor rgb="FF00B050"/>
  </sheetPr>
  <dimension ref="A3:P66"/>
  <sheetViews>
    <sheetView topLeftCell="A19" workbookViewId="0">
      <selection activeCell="P40" sqref="P40:P41"/>
    </sheetView>
  </sheetViews>
  <sheetFormatPr defaultRowHeight="15" x14ac:dyDescent="0.25"/>
  <cols>
    <col min="1" max="1" width="16.140625" customWidth="1"/>
    <col min="2" max="2" width="16.7109375" customWidth="1"/>
    <col min="3" max="3" width="17.5703125" customWidth="1"/>
    <col min="4" max="4" width="27.28515625" customWidth="1"/>
    <col min="5" max="5" width="12" customWidth="1"/>
    <col min="6" max="6" width="11.7109375" customWidth="1"/>
    <col min="12" max="12" width="9.85546875" bestFit="1" customWidth="1"/>
    <col min="13" max="15" width="9.28515625" bestFit="1" customWidth="1"/>
    <col min="16" max="17" width="9.85546875" bestFit="1" customWidth="1"/>
  </cols>
  <sheetData>
    <row r="3" spans="1:16" ht="15" customHeight="1" x14ac:dyDescent="0.25">
      <c r="A3" s="50" t="s">
        <v>110</v>
      </c>
      <c r="B3" s="49"/>
      <c r="E3" s="59" t="s">
        <v>62</v>
      </c>
      <c r="F3" s="59" t="s">
        <v>62</v>
      </c>
      <c r="G3" s="59" t="s">
        <v>62</v>
      </c>
      <c r="H3" s="59" t="s">
        <v>62</v>
      </c>
      <c r="I3" s="59" t="s">
        <v>62</v>
      </c>
      <c r="J3" s="59" t="s">
        <v>62</v>
      </c>
      <c r="K3" s="59" t="s">
        <v>62</v>
      </c>
      <c r="L3" s="59" t="s">
        <v>62</v>
      </c>
      <c r="M3" s="59" t="s">
        <v>62</v>
      </c>
      <c r="N3" s="59" t="s">
        <v>62</v>
      </c>
      <c r="O3" s="59" t="s">
        <v>62</v>
      </c>
      <c r="P3" s="59" t="s">
        <v>62</v>
      </c>
    </row>
    <row r="4" spans="1:16" s="1" customFormat="1" x14ac:dyDescent="0.25">
      <c r="A4" s="47"/>
      <c r="B4" s="48"/>
      <c r="C4" s="67" t="s">
        <v>94</v>
      </c>
      <c r="D4" s="68" t="s">
        <v>95</v>
      </c>
      <c r="E4" s="58" t="s">
        <v>76</v>
      </c>
      <c r="F4" s="58" t="s">
        <v>77</v>
      </c>
      <c r="G4" s="58" t="s">
        <v>78</v>
      </c>
      <c r="H4" s="58" t="s">
        <v>79</v>
      </c>
      <c r="I4" s="58" t="s">
        <v>80</v>
      </c>
      <c r="J4" s="58" t="s">
        <v>81</v>
      </c>
      <c r="K4" s="58" t="s">
        <v>82</v>
      </c>
      <c r="L4" s="58" t="s">
        <v>83</v>
      </c>
      <c r="M4" s="58" t="s">
        <v>24</v>
      </c>
      <c r="N4" s="59" t="s">
        <v>10</v>
      </c>
      <c r="O4" s="59" t="s">
        <v>11</v>
      </c>
      <c r="P4" s="58" t="s">
        <v>458</v>
      </c>
    </row>
    <row r="5" spans="1:16" x14ac:dyDescent="0.25">
      <c r="A5" s="164" t="s">
        <v>96</v>
      </c>
      <c r="B5" s="167" t="s">
        <v>457</v>
      </c>
      <c r="C5" s="36">
        <v>767</v>
      </c>
      <c r="D5" s="39" t="s">
        <v>97</v>
      </c>
      <c r="E5" s="42">
        <v>1891</v>
      </c>
      <c r="F5" s="45">
        <v>3195</v>
      </c>
      <c r="G5" s="42">
        <v>4700</v>
      </c>
      <c r="H5" s="42">
        <v>5324</v>
      </c>
      <c r="I5" s="42">
        <v>2723</v>
      </c>
      <c r="J5" s="42">
        <v>1984</v>
      </c>
      <c r="K5" s="42">
        <v>2594</v>
      </c>
      <c r="L5" s="42">
        <v>6309</v>
      </c>
      <c r="M5" s="42">
        <v>1679</v>
      </c>
      <c r="N5" s="42">
        <v>1359</v>
      </c>
      <c r="O5" s="74">
        <v>3291</v>
      </c>
      <c r="P5" s="74">
        <v>868</v>
      </c>
    </row>
    <row r="6" spans="1:16" x14ac:dyDescent="0.25">
      <c r="A6" s="165"/>
      <c r="B6" s="168"/>
      <c r="C6" s="36">
        <v>768</v>
      </c>
      <c r="D6" s="39" t="s">
        <v>98</v>
      </c>
      <c r="E6" s="42">
        <v>255</v>
      </c>
      <c r="F6" s="45">
        <v>203</v>
      </c>
      <c r="G6" s="42">
        <v>285</v>
      </c>
      <c r="H6" s="42">
        <v>385</v>
      </c>
      <c r="I6" s="42">
        <v>362</v>
      </c>
      <c r="J6" s="42">
        <v>264</v>
      </c>
      <c r="K6" s="42">
        <v>185</v>
      </c>
      <c r="L6" s="42">
        <v>244</v>
      </c>
      <c r="M6" s="42">
        <v>220</v>
      </c>
      <c r="N6" s="42">
        <v>258</v>
      </c>
      <c r="O6" s="74">
        <v>269</v>
      </c>
      <c r="P6" s="74">
        <v>343</v>
      </c>
    </row>
    <row r="7" spans="1:16" x14ac:dyDescent="0.25">
      <c r="A7" s="165"/>
      <c r="B7" s="168"/>
      <c r="C7" s="35">
        <v>1004</v>
      </c>
      <c r="D7" s="40" t="s">
        <v>99</v>
      </c>
      <c r="E7" s="42">
        <v>2488</v>
      </c>
      <c r="F7" s="45">
        <v>2724</v>
      </c>
      <c r="G7" s="42">
        <v>2529</v>
      </c>
      <c r="H7" s="42">
        <v>2911</v>
      </c>
      <c r="I7" s="42">
        <v>2483</v>
      </c>
      <c r="J7" s="42">
        <v>2225</v>
      </c>
      <c r="K7" s="42">
        <v>2263</v>
      </c>
      <c r="L7" s="42">
        <v>4251</v>
      </c>
      <c r="M7" s="42">
        <v>2482</v>
      </c>
      <c r="N7" s="42">
        <v>1024</v>
      </c>
      <c r="O7" s="74">
        <v>2510</v>
      </c>
      <c r="P7" s="74">
        <v>1822</v>
      </c>
    </row>
    <row r="8" spans="1:16" x14ac:dyDescent="0.25">
      <c r="A8" s="165"/>
      <c r="B8" s="168"/>
      <c r="C8" s="35">
        <v>19745</v>
      </c>
      <c r="D8" s="40" t="s">
        <v>100</v>
      </c>
      <c r="E8" s="42">
        <v>0</v>
      </c>
      <c r="F8" s="45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74">
        <v>0</v>
      </c>
      <c r="P8" s="74">
        <v>0</v>
      </c>
    </row>
    <row r="9" spans="1:16" x14ac:dyDescent="0.25">
      <c r="A9" s="165"/>
      <c r="B9" s="168"/>
      <c r="C9" s="36">
        <v>19917</v>
      </c>
      <c r="D9" s="39" t="s">
        <v>101</v>
      </c>
      <c r="E9" s="42">
        <v>2</v>
      </c>
      <c r="F9" s="45">
        <v>2</v>
      </c>
      <c r="G9" s="42">
        <v>4</v>
      </c>
      <c r="H9" s="42">
        <v>1</v>
      </c>
      <c r="I9" s="42">
        <v>592</v>
      </c>
      <c r="J9" s="42">
        <v>68</v>
      </c>
      <c r="K9" s="42">
        <v>51</v>
      </c>
      <c r="L9" s="42">
        <v>42</v>
      </c>
      <c r="M9" s="42">
        <v>120</v>
      </c>
      <c r="N9" s="42">
        <v>119</v>
      </c>
      <c r="O9" s="74">
        <v>62</v>
      </c>
      <c r="P9" s="74">
        <v>58</v>
      </c>
    </row>
    <row r="10" spans="1:16" ht="15" customHeight="1" x14ac:dyDescent="0.25">
      <c r="A10" s="165"/>
      <c r="B10" s="168"/>
      <c r="D10" s="51" t="s">
        <v>111</v>
      </c>
      <c r="E10" s="60">
        <v>4636</v>
      </c>
      <c r="F10" s="60">
        <v>6124</v>
      </c>
      <c r="G10" s="60">
        <v>7518</v>
      </c>
      <c r="H10" s="60">
        <v>8621</v>
      </c>
      <c r="I10" s="60">
        <v>6160</v>
      </c>
      <c r="J10" s="60">
        <v>4541</v>
      </c>
      <c r="K10" s="60">
        <v>5093</v>
      </c>
      <c r="L10" s="60">
        <v>10846</v>
      </c>
      <c r="M10" s="60">
        <v>4501</v>
      </c>
      <c r="N10" s="44">
        <v>2760</v>
      </c>
      <c r="O10" s="44">
        <v>6132</v>
      </c>
      <c r="P10" s="44">
        <v>3091</v>
      </c>
    </row>
    <row r="11" spans="1:16" ht="25.5" x14ac:dyDescent="0.25">
      <c r="A11" s="165"/>
      <c r="B11" s="35" t="s">
        <v>102</v>
      </c>
      <c r="C11" s="38" t="s">
        <v>84</v>
      </c>
      <c r="D11" s="39" t="s">
        <v>103</v>
      </c>
      <c r="E11" s="42">
        <v>6610</v>
      </c>
      <c r="F11" s="45">
        <v>6154</v>
      </c>
      <c r="G11" s="42">
        <v>5264</v>
      </c>
      <c r="H11" s="42">
        <v>5441</v>
      </c>
      <c r="I11" s="42">
        <v>5898</v>
      </c>
      <c r="J11" s="42">
        <v>6222</v>
      </c>
      <c r="K11" s="42">
        <v>5709</v>
      </c>
      <c r="L11" s="42">
        <v>7458</v>
      </c>
      <c r="M11" s="42">
        <v>5835</v>
      </c>
      <c r="N11" s="42">
        <v>1958</v>
      </c>
      <c r="O11" s="74">
        <v>1785</v>
      </c>
      <c r="P11" s="74">
        <v>3044</v>
      </c>
    </row>
    <row r="12" spans="1:16" ht="15" customHeight="1" x14ac:dyDescent="0.25">
      <c r="A12" s="166"/>
      <c r="B12" s="52"/>
      <c r="C12" s="52"/>
      <c r="D12" s="53" t="s">
        <v>112</v>
      </c>
      <c r="E12" s="61">
        <v>11246</v>
      </c>
      <c r="F12" s="61">
        <v>12278</v>
      </c>
      <c r="G12" s="61">
        <v>12782</v>
      </c>
      <c r="H12" s="61">
        <v>14062</v>
      </c>
      <c r="I12" s="61">
        <v>12058</v>
      </c>
      <c r="J12" s="61">
        <v>10763</v>
      </c>
      <c r="K12" s="61">
        <v>10802</v>
      </c>
      <c r="L12" s="61">
        <v>18304</v>
      </c>
      <c r="M12" s="61">
        <v>10336</v>
      </c>
      <c r="N12" s="62">
        <v>4718</v>
      </c>
      <c r="O12" s="62">
        <v>7917</v>
      </c>
      <c r="P12" s="62">
        <v>6135</v>
      </c>
    </row>
    <row r="13" spans="1:16" ht="38.25" x14ac:dyDescent="0.25">
      <c r="A13" s="37" t="s">
        <v>104</v>
      </c>
      <c r="B13" s="37" t="s">
        <v>456</v>
      </c>
      <c r="C13" s="34">
        <v>26005</v>
      </c>
      <c r="D13" s="41" t="s">
        <v>105</v>
      </c>
      <c r="E13" s="43">
        <v>3951</v>
      </c>
      <c r="F13" s="46">
        <v>4103</v>
      </c>
      <c r="G13" s="43">
        <v>5985</v>
      </c>
      <c r="H13" s="43">
        <v>6369</v>
      </c>
      <c r="I13" s="43">
        <v>3278</v>
      </c>
      <c r="J13" s="43">
        <v>5328</v>
      </c>
      <c r="K13" s="43">
        <v>2774</v>
      </c>
      <c r="L13" s="43">
        <v>3381.0526315789475</v>
      </c>
      <c r="M13" s="43">
        <v>1899.2095490716181</v>
      </c>
      <c r="N13" s="42">
        <v>1790</v>
      </c>
      <c r="O13" s="74">
        <v>1664</v>
      </c>
      <c r="P13" s="74">
        <v>4188</v>
      </c>
    </row>
    <row r="14" spans="1:16" ht="15" customHeight="1" x14ac:dyDescent="0.25">
      <c r="A14" s="54"/>
      <c r="B14" s="54"/>
      <c r="C14" s="54"/>
      <c r="D14" s="55" t="s">
        <v>113</v>
      </c>
      <c r="E14" s="63">
        <v>15197</v>
      </c>
      <c r="F14" s="63">
        <v>16381</v>
      </c>
      <c r="G14" s="63">
        <v>18767</v>
      </c>
      <c r="H14" s="63">
        <v>20431</v>
      </c>
      <c r="I14" s="63">
        <v>15336</v>
      </c>
      <c r="J14" s="63">
        <v>16091</v>
      </c>
      <c r="K14" s="63">
        <v>13576</v>
      </c>
      <c r="L14" s="63">
        <v>21685.052631578947</v>
      </c>
      <c r="M14" s="63">
        <v>12235.209549071618</v>
      </c>
      <c r="N14" s="64">
        <v>6508</v>
      </c>
      <c r="O14" s="64">
        <v>9581</v>
      </c>
      <c r="P14" s="64">
        <v>10323</v>
      </c>
    </row>
    <row r="15" spans="1:16" ht="15" customHeight="1" x14ac:dyDescent="0.25">
      <c r="A15" s="169" t="s">
        <v>106</v>
      </c>
      <c r="B15" s="56"/>
      <c r="C15" s="56"/>
      <c r="D15" s="57" t="s">
        <v>107</v>
      </c>
      <c r="E15" s="65">
        <v>3286.0422400000002</v>
      </c>
      <c r="F15" s="65">
        <v>3616.0618699662978</v>
      </c>
      <c r="G15" s="65">
        <v>3651.1130299999995</v>
      </c>
      <c r="H15" s="65">
        <v>4117.8956400000006</v>
      </c>
      <c r="I15" s="65">
        <v>4205.3842354909993</v>
      </c>
      <c r="J15" s="65">
        <v>3810.5351100000003</v>
      </c>
      <c r="K15" s="65">
        <v>3442.0365600000005</v>
      </c>
      <c r="L15" s="65">
        <v>4157.5889999999999</v>
      </c>
      <c r="M15" s="65">
        <v>4257.4617448469926</v>
      </c>
      <c r="N15" s="65">
        <v>3898.2900863530003</v>
      </c>
      <c r="O15" s="65">
        <v>4100.1989415100006</v>
      </c>
      <c r="P15" s="65">
        <v>3869.6090812220059</v>
      </c>
    </row>
    <row r="16" spans="1:16" ht="15" customHeight="1" x14ac:dyDescent="0.25">
      <c r="A16" s="170"/>
      <c r="B16" s="56"/>
      <c r="C16" s="56"/>
      <c r="D16" s="57" t="s">
        <v>108</v>
      </c>
      <c r="E16" s="66">
        <v>4.6247123104540488</v>
      </c>
      <c r="F16" s="66">
        <v>4.5300662956169697</v>
      </c>
      <c r="G16" s="66">
        <v>5.1400764221205177</v>
      </c>
      <c r="H16" s="66">
        <v>4.9615147604857697</v>
      </c>
      <c r="I16" s="66">
        <v>3.6467535761829017</v>
      </c>
      <c r="J16" s="66">
        <v>4.2227664974854404</v>
      </c>
      <c r="K16" s="66">
        <v>3.9441765836444218</v>
      </c>
      <c r="L16" s="66">
        <v>5.215775929650321</v>
      </c>
      <c r="M16" s="66">
        <v>2.873827243164421</v>
      </c>
      <c r="N16" s="66">
        <v>1.6694499013254509</v>
      </c>
      <c r="O16" s="66">
        <v>2.3367158854178811</v>
      </c>
      <c r="P16" s="66">
        <v>2.6677113329339308</v>
      </c>
    </row>
    <row r="17" spans="1:16" ht="15" customHeight="1" x14ac:dyDescent="0.25">
      <c r="A17" s="171"/>
      <c r="B17" s="56"/>
      <c r="C17" s="56"/>
      <c r="D17" s="57" t="s">
        <v>63</v>
      </c>
      <c r="E17" s="151">
        <v>-0.261033549031778</v>
      </c>
      <c r="F17" s="150">
        <v>-2.0465276212562267E-2</v>
      </c>
      <c r="G17" s="150">
        <v>0.13465810138225981</v>
      </c>
      <c r="H17" s="150">
        <v>-3.4739106381045437E-2</v>
      </c>
      <c r="I17" s="150">
        <v>-0.26499189214830493</v>
      </c>
      <c r="J17" s="150">
        <v>0.15795224691476353</v>
      </c>
      <c r="K17" s="150">
        <v>-6.5973317257042849E-2</v>
      </c>
      <c r="L17" s="150">
        <v>0.32239919259166144</v>
      </c>
      <c r="M17" s="150">
        <v>-0.44901251857322605</v>
      </c>
      <c r="N17" s="150">
        <v>-0.41908480918735019</v>
      </c>
      <c r="O17" s="150">
        <v>0.39969212826492001</v>
      </c>
      <c r="P17" s="150">
        <v>0.14164984694185742</v>
      </c>
    </row>
    <row r="18" spans="1:16" x14ac:dyDescent="0.25">
      <c r="D18" s="57" t="s">
        <v>109</v>
      </c>
    </row>
    <row r="20" spans="1:16" x14ac:dyDescent="0.25">
      <c r="E20" s="3"/>
      <c r="F20" s="3"/>
      <c r="G20" s="3"/>
      <c r="H20" s="3"/>
      <c r="I20" s="3"/>
      <c r="J20" s="3"/>
      <c r="K20" s="3"/>
      <c r="L20" s="3"/>
      <c r="M20" s="3"/>
      <c r="N20" s="3"/>
    </row>
    <row r="23" spans="1:16" x14ac:dyDescent="0.25">
      <c r="E23" s="3"/>
      <c r="F23" s="3"/>
      <c r="G23" s="3"/>
      <c r="H23" s="3"/>
      <c r="I23" s="3"/>
      <c r="J23" s="3"/>
      <c r="K23" s="3"/>
      <c r="L23" s="3"/>
      <c r="M23" s="3"/>
      <c r="N23" s="3"/>
    </row>
    <row r="37" spans="1:16" x14ac:dyDescent="0.25">
      <c r="A37" s="4" t="s">
        <v>115</v>
      </c>
      <c r="B37" s="4" t="s">
        <v>116</v>
      </c>
    </row>
    <row r="39" spans="1:16" ht="75" x14ac:dyDescent="0.25">
      <c r="A39" s="70" t="s">
        <v>127</v>
      </c>
      <c r="B39" s="70" t="s">
        <v>117</v>
      </c>
      <c r="C39" s="70" t="s">
        <v>128</v>
      </c>
      <c r="D39" s="70" t="s">
        <v>118</v>
      </c>
      <c r="E39" s="70" t="s">
        <v>76</v>
      </c>
      <c r="F39" s="70" t="s">
        <v>77</v>
      </c>
      <c r="G39" s="70" t="s">
        <v>78</v>
      </c>
      <c r="H39" s="70" t="s">
        <v>79</v>
      </c>
      <c r="I39" s="70" t="s">
        <v>80</v>
      </c>
      <c r="J39" s="70" t="s">
        <v>81</v>
      </c>
      <c r="K39" s="70" t="s">
        <v>82</v>
      </c>
      <c r="L39" s="70" t="s">
        <v>83</v>
      </c>
      <c r="M39" s="70" t="s">
        <v>24</v>
      </c>
      <c r="N39" s="70" t="s">
        <v>10</v>
      </c>
      <c r="O39" s="70" t="s">
        <v>11</v>
      </c>
      <c r="P39" s="70" t="s">
        <v>458</v>
      </c>
    </row>
    <row r="40" spans="1:16" ht="30" x14ac:dyDescent="0.25">
      <c r="A40" s="70" t="s">
        <v>119</v>
      </c>
      <c r="B40" s="70" t="s">
        <v>120</v>
      </c>
      <c r="C40" s="70" t="s">
        <v>121</v>
      </c>
      <c r="D40" s="70" t="s">
        <v>122</v>
      </c>
      <c r="E40" s="71">
        <v>6610</v>
      </c>
      <c r="F40" s="71">
        <v>6154</v>
      </c>
      <c r="G40" s="71">
        <v>5264</v>
      </c>
      <c r="H40" s="71">
        <v>5441</v>
      </c>
      <c r="I40" s="71">
        <v>5898</v>
      </c>
      <c r="J40" s="71">
        <v>6222</v>
      </c>
      <c r="K40" s="71">
        <v>5709</v>
      </c>
      <c r="L40" s="71">
        <v>7458</v>
      </c>
      <c r="M40" s="71">
        <v>5835</v>
      </c>
      <c r="N40" s="71">
        <v>1958</v>
      </c>
      <c r="O40" s="71">
        <v>1785</v>
      </c>
      <c r="P40" s="71">
        <v>3044</v>
      </c>
    </row>
    <row r="41" spans="1:16" ht="30" x14ac:dyDescent="0.25">
      <c r="A41" s="70" t="s">
        <v>123</v>
      </c>
      <c r="B41" s="70" t="s">
        <v>124</v>
      </c>
      <c r="C41" s="70" t="s">
        <v>125</v>
      </c>
      <c r="D41" s="70" t="s">
        <v>126</v>
      </c>
      <c r="E41" s="71">
        <v>4636</v>
      </c>
      <c r="F41" s="71">
        <v>6124</v>
      </c>
      <c r="G41" s="71">
        <v>7518</v>
      </c>
      <c r="H41" s="71">
        <v>8621</v>
      </c>
      <c r="I41" s="71">
        <v>6160</v>
      </c>
      <c r="J41" s="71">
        <v>4541</v>
      </c>
      <c r="K41" s="71">
        <v>5093</v>
      </c>
      <c r="L41" s="71">
        <v>10846</v>
      </c>
      <c r="M41" s="71">
        <v>4501</v>
      </c>
      <c r="N41" s="71">
        <v>2760</v>
      </c>
      <c r="O41" s="71">
        <v>6132</v>
      </c>
      <c r="P41" s="71">
        <v>3091</v>
      </c>
    </row>
    <row r="47" spans="1:16" ht="22.5" customHeight="1" x14ac:dyDescent="0.25"/>
    <row r="61" ht="15.75" customHeight="1" x14ac:dyDescent="0.25"/>
    <row r="63" ht="23.25" customHeight="1" x14ac:dyDescent="0.25"/>
    <row r="66" ht="15.75" customHeight="1" x14ac:dyDescent="0.25"/>
  </sheetData>
  <mergeCells count="3">
    <mergeCell ref="A5:A12"/>
    <mergeCell ref="B5:B10"/>
    <mergeCell ref="A15:A17"/>
  </mergeCells>
  <phoneticPr fontId="8" type="noConversion"/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DF9B-A64F-47C6-8DBB-AB9CEEF1E5A6}">
  <sheetPr>
    <tabColor rgb="FF00B050"/>
  </sheetPr>
  <dimension ref="A2:I12"/>
  <sheetViews>
    <sheetView workbookViewId="0">
      <selection activeCell="I5" sqref="I5:I10"/>
    </sheetView>
  </sheetViews>
  <sheetFormatPr defaultRowHeight="15" x14ac:dyDescent="0.25"/>
  <cols>
    <col min="1" max="1" width="13.140625" customWidth="1"/>
    <col min="2" max="2" width="25.42578125" customWidth="1"/>
    <col min="3" max="3" width="16.5703125" customWidth="1"/>
    <col min="4" max="9" width="12.42578125" customWidth="1"/>
  </cols>
  <sheetData>
    <row r="2" spans="1:9" x14ac:dyDescent="0.25">
      <c r="A2" s="4" t="s">
        <v>136</v>
      </c>
      <c r="B2" s="4" t="s">
        <v>137</v>
      </c>
    </row>
    <row r="3" spans="1:9" x14ac:dyDescent="0.25">
      <c r="A3" s="4"/>
      <c r="B3" s="4"/>
    </row>
    <row r="4" spans="1:9" x14ac:dyDescent="0.25">
      <c r="B4" s="76" t="s">
        <v>151</v>
      </c>
      <c r="C4" s="79" t="s">
        <v>133</v>
      </c>
      <c r="D4" s="81" t="s">
        <v>82</v>
      </c>
      <c r="E4" s="81" t="s">
        <v>83</v>
      </c>
      <c r="F4" s="81" t="s">
        <v>24</v>
      </c>
      <c r="G4" s="81" t="s">
        <v>10</v>
      </c>
      <c r="H4" s="83" t="s">
        <v>11</v>
      </c>
      <c r="I4" s="180" t="s">
        <v>458</v>
      </c>
    </row>
    <row r="5" spans="1:9" ht="30" x14ac:dyDescent="0.25">
      <c r="A5" s="172" t="s">
        <v>138</v>
      </c>
      <c r="B5" s="77" t="s">
        <v>139</v>
      </c>
      <c r="C5" s="75" t="s">
        <v>145</v>
      </c>
      <c r="D5" s="74">
        <v>9055.6209999999992</v>
      </c>
      <c r="E5" s="74">
        <v>10217.864</v>
      </c>
      <c r="F5" s="84">
        <v>9761.4040000000005</v>
      </c>
      <c r="G5" s="84">
        <v>8254.8109999999997</v>
      </c>
      <c r="H5" s="84">
        <v>9406.3179999999993</v>
      </c>
      <c r="I5" s="74">
        <v>8746.6239999999998</v>
      </c>
    </row>
    <row r="6" spans="1:9" ht="30" x14ac:dyDescent="0.25">
      <c r="A6" s="173"/>
      <c r="B6" s="77" t="s">
        <v>140</v>
      </c>
      <c r="C6" s="75" t="s">
        <v>145</v>
      </c>
      <c r="D6" s="74">
        <v>0</v>
      </c>
      <c r="E6" s="75">
        <v>0</v>
      </c>
      <c r="F6" s="82">
        <v>55.860506000000008</v>
      </c>
      <c r="G6" s="82">
        <v>484.79042900000002</v>
      </c>
      <c r="H6" s="85">
        <v>471.95657649804684</v>
      </c>
      <c r="I6" s="82">
        <v>524.97293960920706</v>
      </c>
    </row>
    <row r="7" spans="1:9" x14ac:dyDescent="0.25">
      <c r="A7" s="174"/>
      <c r="B7" s="77" t="s">
        <v>141</v>
      </c>
      <c r="C7" s="75" t="s">
        <v>145</v>
      </c>
      <c r="D7" s="74">
        <v>22253.56388888889</v>
      </c>
      <c r="E7" s="74">
        <v>25360.756944444445</v>
      </c>
      <c r="F7" s="74">
        <v>22803.822222222221</v>
      </c>
      <c r="G7" s="74">
        <v>20258.777777777777</v>
      </c>
      <c r="H7" s="84">
        <v>22928.081944444446</v>
      </c>
      <c r="I7" s="74">
        <v>20719.727777777778</v>
      </c>
    </row>
    <row r="8" spans="1:9" ht="45" x14ac:dyDescent="0.25">
      <c r="A8" s="172" t="s">
        <v>142</v>
      </c>
      <c r="B8" s="77" t="s">
        <v>143</v>
      </c>
      <c r="C8" s="75" t="s">
        <v>145</v>
      </c>
      <c r="D8" s="80" t="s">
        <v>146</v>
      </c>
      <c r="E8" s="80" t="s">
        <v>146</v>
      </c>
      <c r="F8" s="80" t="s">
        <v>146</v>
      </c>
      <c r="G8" s="80" t="s">
        <v>146</v>
      </c>
      <c r="H8" s="86" t="s">
        <v>146</v>
      </c>
      <c r="I8" s="80" t="s">
        <v>146</v>
      </c>
    </row>
    <row r="9" spans="1:9" x14ac:dyDescent="0.25">
      <c r="A9" s="173"/>
      <c r="B9" s="77" t="s">
        <v>141</v>
      </c>
      <c r="C9" s="75" t="s">
        <v>145</v>
      </c>
      <c r="D9" s="74">
        <v>22253.56388888889</v>
      </c>
      <c r="E9" s="74">
        <v>25360.756944444445</v>
      </c>
      <c r="F9" s="74">
        <v>22803.822222222221</v>
      </c>
      <c r="G9" s="74">
        <v>20258.777777777777</v>
      </c>
      <c r="H9" s="84">
        <v>22928.081944444446</v>
      </c>
      <c r="I9" s="74">
        <v>20719.727777777778</v>
      </c>
    </row>
    <row r="10" spans="1:9" ht="30" x14ac:dyDescent="0.25">
      <c r="A10" s="174"/>
      <c r="B10" s="78" t="s">
        <v>144</v>
      </c>
      <c r="C10" s="81" t="s">
        <v>145</v>
      </c>
      <c r="D10" s="87">
        <v>0</v>
      </c>
      <c r="E10" s="87">
        <v>0</v>
      </c>
      <c r="F10" s="88">
        <v>2.718</v>
      </c>
      <c r="G10" s="88">
        <v>51.951985000000001</v>
      </c>
      <c r="H10" s="89">
        <v>47.140605999999998</v>
      </c>
      <c r="I10" s="82">
        <v>67.551733999999982</v>
      </c>
    </row>
    <row r="11" spans="1:9" x14ac:dyDescent="0.25">
      <c r="B11" s="76"/>
    </row>
    <row r="12" spans="1:9" x14ac:dyDescent="0.25">
      <c r="B12" s="76"/>
    </row>
  </sheetData>
  <mergeCells count="2">
    <mergeCell ref="A5:A7"/>
    <mergeCell ref="A8:A10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7C09-FE90-4E94-A85B-3D14EF9E2E24}">
  <sheetPr>
    <tabColor rgb="FF00B050"/>
  </sheetPr>
  <dimension ref="A3:I5"/>
  <sheetViews>
    <sheetView workbookViewId="0">
      <selection activeCell="I5" sqref="I5"/>
    </sheetView>
  </sheetViews>
  <sheetFormatPr defaultRowHeight="15" x14ac:dyDescent="0.25"/>
  <cols>
    <col min="2" max="2" width="15.7109375" bestFit="1" customWidth="1"/>
    <col min="3" max="3" width="8.5703125" customWidth="1"/>
    <col min="4" max="9" width="11.7109375" customWidth="1"/>
  </cols>
  <sheetData>
    <row r="3" spans="1:9" x14ac:dyDescent="0.25">
      <c r="A3" s="4" t="s">
        <v>147</v>
      </c>
      <c r="B3" s="4" t="s">
        <v>148</v>
      </c>
    </row>
    <row r="4" spans="1:9" ht="30" x14ac:dyDescent="0.25">
      <c r="B4" s="70" t="s">
        <v>153</v>
      </c>
      <c r="C4" s="70" t="s">
        <v>133</v>
      </c>
      <c r="D4" s="70" t="s">
        <v>82</v>
      </c>
      <c r="E4" s="70" t="s">
        <v>83</v>
      </c>
      <c r="F4" s="70" t="s">
        <v>152</v>
      </c>
      <c r="G4" s="70" t="s">
        <v>10</v>
      </c>
      <c r="H4" s="70" t="s">
        <v>11</v>
      </c>
      <c r="I4" s="70" t="s">
        <v>458</v>
      </c>
    </row>
    <row r="5" spans="1:9" x14ac:dyDescent="0.25">
      <c r="A5" t="s">
        <v>138</v>
      </c>
      <c r="B5" s="1" t="s">
        <v>149</v>
      </c>
      <c r="C5" s="1" t="s">
        <v>150</v>
      </c>
      <c r="D5" s="2">
        <v>2143973</v>
      </c>
      <c r="E5" s="2">
        <v>2442190</v>
      </c>
      <c r="F5" s="2">
        <v>2204340</v>
      </c>
      <c r="G5" s="2">
        <v>1961871</v>
      </c>
      <c r="H5" s="2">
        <v>2223841</v>
      </c>
      <c r="I5" s="2">
        <v>2007982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84D2-8CA0-4646-B27C-BBD9DB3F77AA}">
  <sheetPr>
    <tabColor rgb="FF00B050"/>
  </sheetPr>
  <dimension ref="A1:T97"/>
  <sheetViews>
    <sheetView topLeftCell="G1" workbookViewId="0">
      <selection activeCell="T6" sqref="T6:T97"/>
    </sheetView>
  </sheetViews>
  <sheetFormatPr defaultRowHeight="15" x14ac:dyDescent="0.25"/>
  <cols>
    <col min="1" max="1" width="11.140625" customWidth="1"/>
    <col min="2" max="2" width="41.7109375" customWidth="1"/>
    <col min="3" max="3" width="10.140625" customWidth="1"/>
    <col min="4" max="4" width="12.5703125" customWidth="1"/>
    <col min="5" max="5" width="18" customWidth="1"/>
    <col min="6" max="6" width="13.28515625" customWidth="1"/>
    <col min="7" max="7" width="10.140625" customWidth="1"/>
    <col min="8" max="17" width="16.85546875" customWidth="1"/>
    <col min="18" max="18" width="15" bestFit="1" customWidth="1"/>
    <col min="19" max="19" width="17.140625" bestFit="1" customWidth="1"/>
    <col min="20" max="20" width="11.85546875" customWidth="1"/>
  </cols>
  <sheetData>
    <row r="1" spans="1:20" x14ac:dyDescent="0.25">
      <c r="A1" t="s">
        <v>178</v>
      </c>
      <c r="B1" s="90" t="s">
        <v>179</v>
      </c>
    </row>
    <row r="3" spans="1:20" x14ac:dyDescent="0.25">
      <c r="A3" s="4" t="s">
        <v>154</v>
      </c>
      <c r="B3" s="4" t="s">
        <v>155</v>
      </c>
    </row>
    <row r="5" spans="1:20" ht="45" x14ac:dyDescent="0.25">
      <c r="A5" s="70" t="s">
        <v>180</v>
      </c>
      <c r="B5" s="70" t="s">
        <v>181</v>
      </c>
      <c r="C5" s="70" t="s">
        <v>62</v>
      </c>
      <c r="D5" s="70" t="s">
        <v>182</v>
      </c>
      <c r="E5" s="70" t="s">
        <v>183</v>
      </c>
      <c r="F5" s="70" t="s">
        <v>184</v>
      </c>
      <c r="G5" s="70" t="s">
        <v>185</v>
      </c>
      <c r="H5" s="70" t="s">
        <v>186</v>
      </c>
      <c r="I5" s="70" t="s">
        <v>187</v>
      </c>
      <c r="J5" s="70" t="s">
        <v>188</v>
      </c>
      <c r="K5" s="70" t="s">
        <v>189</v>
      </c>
      <c r="L5" s="70" t="s">
        <v>190</v>
      </c>
      <c r="M5" s="70" t="s">
        <v>191</v>
      </c>
      <c r="N5" s="70" t="s">
        <v>192</v>
      </c>
      <c r="O5" s="70" t="s">
        <v>193</v>
      </c>
      <c r="P5" s="70" t="s">
        <v>194</v>
      </c>
      <c r="Q5" s="70" t="s">
        <v>195</v>
      </c>
      <c r="R5" s="70" t="s">
        <v>258</v>
      </c>
      <c r="S5" s="70" t="s">
        <v>259</v>
      </c>
      <c r="T5" s="70" t="s">
        <v>255</v>
      </c>
    </row>
    <row r="6" spans="1:20" hidden="1" x14ac:dyDescent="0.25">
      <c r="A6" s="91">
        <v>101</v>
      </c>
      <c r="B6" s="93" t="s">
        <v>170</v>
      </c>
      <c r="C6" s="91">
        <v>2022</v>
      </c>
      <c r="D6" s="91" t="s">
        <v>196</v>
      </c>
      <c r="E6" s="94">
        <v>44712</v>
      </c>
      <c r="F6" s="91" t="s">
        <v>208</v>
      </c>
      <c r="G6" s="91" t="s">
        <v>197</v>
      </c>
      <c r="H6" s="91">
        <v>6400</v>
      </c>
      <c r="I6" s="91">
        <v>8000</v>
      </c>
      <c r="J6" s="91">
        <v>24</v>
      </c>
      <c r="K6" s="91" t="s">
        <v>199</v>
      </c>
      <c r="L6" s="91" t="s">
        <v>203</v>
      </c>
      <c r="M6" s="91">
        <v>2.7</v>
      </c>
      <c r="N6" s="91">
        <v>5</v>
      </c>
      <c r="O6" s="91">
        <v>0.9</v>
      </c>
      <c r="P6" s="91">
        <v>1.7100000000000001E-2</v>
      </c>
      <c r="Q6" s="95">
        <v>0.04</v>
      </c>
      <c r="R6" s="92">
        <v>0.54</v>
      </c>
      <c r="S6" s="91" t="s">
        <v>256</v>
      </c>
      <c r="T6" s="91" t="s">
        <v>170</v>
      </c>
    </row>
    <row r="7" spans="1:20" hidden="1" x14ac:dyDescent="0.25">
      <c r="A7" s="91">
        <v>101</v>
      </c>
      <c r="B7" s="93" t="s">
        <v>170</v>
      </c>
      <c r="C7" s="91">
        <v>2022</v>
      </c>
      <c r="D7" s="91" t="s">
        <v>196</v>
      </c>
      <c r="E7" s="94">
        <v>44712</v>
      </c>
      <c r="F7" s="91" t="s">
        <v>208</v>
      </c>
      <c r="G7" s="91" t="s">
        <v>197</v>
      </c>
      <c r="H7" s="91">
        <v>6400</v>
      </c>
      <c r="I7" s="91">
        <v>8000</v>
      </c>
      <c r="J7" s="91">
        <v>24</v>
      </c>
      <c r="K7" s="91" t="s">
        <v>199</v>
      </c>
      <c r="L7" s="91" t="s">
        <v>204</v>
      </c>
      <c r="M7" s="91" t="s">
        <v>205</v>
      </c>
      <c r="N7" s="91">
        <v>15</v>
      </c>
      <c r="O7" s="91">
        <v>0</v>
      </c>
      <c r="P7" s="91" t="s">
        <v>209</v>
      </c>
      <c r="Q7" s="95">
        <v>0.12</v>
      </c>
      <c r="R7" s="92">
        <v>1.3333333333333334E-2</v>
      </c>
      <c r="S7" s="91" t="s">
        <v>256</v>
      </c>
      <c r="T7" s="91" t="s">
        <v>170</v>
      </c>
    </row>
    <row r="8" spans="1:20" hidden="1" x14ac:dyDescent="0.25">
      <c r="A8" s="91">
        <v>101</v>
      </c>
      <c r="B8" s="93" t="s">
        <v>170</v>
      </c>
      <c r="C8" s="91">
        <v>2022</v>
      </c>
      <c r="D8" s="91" t="s">
        <v>196</v>
      </c>
      <c r="E8" s="94">
        <v>44712</v>
      </c>
      <c r="F8" s="91" t="s">
        <v>208</v>
      </c>
      <c r="G8" s="91" t="s">
        <v>197</v>
      </c>
      <c r="H8" s="91">
        <v>6400</v>
      </c>
      <c r="I8" s="91">
        <v>8000</v>
      </c>
      <c r="J8" s="91">
        <v>24</v>
      </c>
      <c r="K8" s="91" t="s">
        <v>199</v>
      </c>
      <c r="L8" s="91" t="s">
        <v>210</v>
      </c>
      <c r="M8" s="91">
        <v>0.2</v>
      </c>
      <c r="N8" s="91">
        <v>10</v>
      </c>
      <c r="O8" s="91">
        <v>0.1</v>
      </c>
      <c r="P8" s="91">
        <v>1.5E-3</v>
      </c>
      <c r="Q8" s="95">
        <v>0.08</v>
      </c>
      <c r="R8" s="92">
        <v>0.02</v>
      </c>
      <c r="S8" s="91" t="s">
        <v>256</v>
      </c>
      <c r="T8" s="91" t="s">
        <v>170</v>
      </c>
    </row>
    <row r="9" spans="1:20" hidden="1" x14ac:dyDescent="0.25">
      <c r="A9" s="91">
        <v>101</v>
      </c>
      <c r="B9" s="93" t="s">
        <v>170</v>
      </c>
      <c r="C9" s="91">
        <v>2022</v>
      </c>
      <c r="D9" s="91" t="s">
        <v>196</v>
      </c>
      <c r="E9" s="94">
        <v>44712</v>
      </c>
      <c r="F9" s="91" t="s">
        <v>208</v>
      </c>
      <c r="G9" s="91" t="s">
        <v>197</v>
      </c>
      <c r="H9" s="91">
        <v>6400</v>
      </c>
      <c r="I9" s="91">
        <v>8000</v>
      </c>
      <c r="J9" s="91">
        <v>24</v>
      </c>
      <c r="K9" s="91" t="s">
        <v>199</v>
      </c>
      <c r="L9" s="91" t="s">
        <v>201</v>
      </c>
      <c r="M9" s="91">
        <v>1.9</v>
      </c>
      <c r="N9" s="91">
        <v>20</v>
      </c>
      <c r="O9" s="91">
        <v>1.9</v>
      </c>
      <c r="P9" s="91">
        <v>1.23E-2</v>
      </c>
      <c r="Q9" s="95">
        <v>0.16</v>
      </c>
      <c r="R9" s="92">
        <v>9.5000000000000001E-2</v>
      </c>
      <c r="S9" s="91" t="s">
        <v>256</v>
      </c>
      <c r="T9" s="91" t="s">
        <v>170</v>
      </c>
    </row>
    <row r="10" spans="1:20" ht="22.5" hidden="1" x14ac:dyDescent="0.25">
      <c r="A10" s="96" t="s">
        <v>156</v>
      </c>
      <c r="B10" s="93" t="s">
        <v>161</v>
      </c>
      <c r="C10" s="91">
        <v>2022</v>
      </c>
      <c r="D10" s="91" t="s">
        <v>196</v>
      </c>
      <c r="E10" s="94">
        <v>44733</v>
      </c>
      <c r="F10" s="91" t="s">
        <v>211</v>
      </c>
      <c r="G10" s="91" t="s">
        <v>197</v>
      </c>
      <c r="H10" s="91">
        <v>10700</v>
      </c>
      <c r="I10" s="91">
        <v>15000</v>
      </c>
      <c r="J10" s="91">
        <v>36</v>
      </c>
      <c r="K10" s="91">
        <v>20</v>
      </c>
      <c r="L10" s="91" t="s">
        <v>202</v>
      </c>
      <c r="M10" s="91">
        <v>0.05</v>
      </c>
      <c r="N10" s="91">
        <v>1</v>
      </c>
      <c r="O10" s="91">
        <v>0.01</v>
      </c>
      <c r="P10" s="91">
        <v>5.0000000000000001E-4</v>
      </c>
      <c r="Q10" s="95">
        <v>1.4999999999999999E-2</v>
      </c>
      <c r="R10" s="92">
        <v>0.05</v>
      </c>
      <c r="S10" s="91" t="s">
        <v>256</v>
      </c>
      <c r="T10" s="91" t="s">
        <v>161</v>
      </c>
    </row>
    <row r="11" spans="1:20" ht="22.5" hidden="1" x14ac:dyDescent="0.25">
      <c r="A11" s="96" t="s">
        <v>156</v>
      </c>
      <c r="B11" s="93" t="s">
        <v>161</v>
      </c>
      <c r="C11" s="91">
        <v>2022</v>
      </c>
      <c r="D11" s="91" t="s">
        <v>196</v>
      </c>
      <c r="E11" s="94">
        <v>44733</v>
      </c>
      <c r="F11" s="91" t="s">
        <v>211</v>
      </c>
      <c r="G11" s="91" t="s">
        <v>197</v>
      </c>
      <c r="H11" s="91">
        <v>10700</v>
      </c>
      <c r="I11" s="91">
        <v>15000</v>
      </c>
      <c r="J11" s="91">
        <v>36</v>
      </c>
      <c r="K11" s="91">
        <v>20</v>
      </c>
      <c r="L11" s="91" t="s">
        <v>203</v>
      </c>
      <c r="M11" s="91">
        <v>1.8</v>
      </c>
      <c r="N11" s="91">
        <v>5</v>
      </c>
      <c r="O11" s="91">
        <v>1.1000000000000001</v>
      </c>
      <c r="P11" s="91">
        <v>1.89E-2</v>
      </c>
      <c r="Q11" s="95">
        <v>0.08</v>
      </c>
      <c r="R11" s="92">
        <v>0.36</v>
      </c>
      <c r="S11" s="91" t="s">
        <v>256</v>
      </c>
      <c r="T11" s="91" t="s">
        <v>161</v>
      </c>
    </row>
    <row r="12" spans="1:20" ht="22.5" hidden="1" x14ac:dyDescent="0.25">
      <c r="A12" s="96" t="s">
        <v>156</v>
      </c>
      <c r="B12" s="93" t="s">
        <v>161</v>
      </c>
      <c r="C12" s="91">
        <v>2022</v>
      </c>
      <c r="D12" s="91" t="s">
        <v>196</v>
      </c>
      <c r="E12" s="94">
        <v>44733</v>
      </c>
      <c r="F12" s="91" t="s">
        <v>211</v>
      </c>
      <c r="G12" s="91" t="s">
        <v>197</v>
      </c>
      <c r="H12" s="91">
        <v>10700</v>
      </c>
      <c r="I12" s="91">
        <v>15000</v>
      </c>
      <c r="J12" s="91">
        <v>36</v>
      </c>
      <c r="K12" s="91">
        <v>20</v>
      </c>
      <c r="L12" s="91" t="s">
        <v>204</v>
      </c>
      <c r="M12" s="91">
        <v>0.3</v>
      </c>
      <c r="N12" s="91">
        <v>8</v>
      </c>
      <c r="O12" s="91">
        <v>0.3</v>
      </c>
      <c r="P12" s="91">
        <v>2.8999999999999998E-3</v>
      </c>
      <c r="Q12" s="95">
        <v>0.12</v>
      </c>
      <c r="R12" s="92">
        <v>3.7499999999999999E-2</v>
      </c>
      <c r="S12" s="91" t="s">
        <v>256</v>
      </c>
      <c r="T12" s="91" t="s">
        <v>161</v>
      </c>
    </row>
    <row r="13" spans="1:20" ht="22.5" hidden="1" x14ac:dyDescent="0.25">
      <c r="A13" s="96" t="s">
        <v>156</v>
      </c>
      <c r="B13" s="93" t="s">
        <v>161</v>
      </c>
      <c r="C13" s="91">
        <v>2022</v>
      </c>
      <c r="D13" s="91" t="s">
        <v>196</v>
      </c>
      <c r="E13" s="94">
        <v>44733</v>
      </c>
      <c r="F13" s="91" t="s">
        <v>211</v>
      </c>
      <c r="G13" s="91" t="s">
        <v>197</v>
      </c>
      <c r="H13" s="91">
        <v>10700</v>
      </c>
      <c r="I13" s="91">
        <v>15000</v>
      </c>
      <c r="J13" s="91">
        <v>36</v>
      </c>
      <c r="K13" s="91">
        <v>20</v>
      </c>
      <c r="L13" s="91" t="s">
        <v>198</v>
      </c>
      <c r="M13" s="91">
        <v>0.5</v>
      </c>
      <c r="N13" s="91">
        <v>10</v>
      </c>
      <c r="O13" s="91">
        <v>0.2</v>
      </c>
      <c r="P13" s="91">
        <v>5.4000000000000003E-3</v>
      </c>
      <c r="Q13" s="95">
        <v>0.15</v>
      </c>
      <c r="R13" s="92">
        <v>0.05</v>
      </c>
      <c r="S13" s="91" t="s">
        <v>256</v>
      </c>
      <c r="T13" s="91" t="s">
        <v>161</v>
      </c>
    </row>
    <row r="14" spans="1:20" ht="22.5" hidden="1" x14ac:dyDescent="0.25">
      <c r="A14" s="96" t="s">
        <v>156</v>
      </c>
      <c r="B14" s="93" t="s">
        <v>161</v>
      </c>
      <c r="C14" s="91">
        <v>2022</v>
      </c>
      <c r="D14" s="91" t="s">
        <v>196</v>
      </c>
      <c r="E14" s="94">
        <v>44733</v>
      </c>
      <c r="F14" s="91" t="s">
        <v>211</v>
      </c>
      <c r="G14" s="91" t="s">
        <v>197</v>
      </c>
      <c r="H14" s="91">
        <v>10700</v>
      </c>
      <c r="I14" s="91">
        <v>15000</v>
      </c>
      <c r="J14" s="91">
        <v>36</v>
      </c>
      <c r="K14" s="91">
        <v>20</v>
      </c>
      <c r="L14" s="91" t="s">
        <v>201</v>
      </c>
      <c r="M14" s="91">
        <v>1.2</v>
      </c>
      <c r="N14" s="91">
        <v>20</v>
      </c>
      <c r="O14" s="91">
        <v>1.1000000000000001</v>
      </c>
      <c r="P14" s="91">
        <v>1.2800000000000001E-2</v>
      </c>
      <c r="Q14" s="95">
        <v>0.3</v>
      </c>
      <c r="R14" s="92">
        <v>0.06</v>
      </c>
      <c r="S14" s="91" t="s">
        <v>256</v>
      </c>
      <c r="T14" s="91" t="s">
        <v>161</v>
      </c>
    </row>
    <row r="15" spans="1:20" ht="22.5" hidden="1" x14ac:dyDescent="0.25">
      <c r="A15" s="96" t="s">
        <v>157</v>
      </c>
      <c r="B15" s="93" t="s">
        <v>162</v>
      </c>
      <c r="C15" s="91">
        <v>2022</v>
      </c>
      <c r="D15" s="91" t="s">
        <v>196</v>
      </c>
      <c r="E15" s="94">
        <v>44733</v>
      </c>
      <c r="F15" s="91" t="s">
        <v>212</v>
      </c>
      <c r="G15" s="91" t="s">
        <v>197</v>
      </c>
      <c r="H15" s="91">
        <v>11300</v>
      </c>
      <c r="I15" s="91">
        <v>15000</v>
      </c>
      <c r="J15" s="91">
        <v>40</v>
      </c>
      <c r="K15" s="91">
        <v>20</v>
      </c>
      <c r="L15" s="91" t="s">
        <v>202</v>
      </c>
      <c r="M15" s="91">
        <v>0.05</v>
      </c>
      <c r="N15" s="91">
        <v>1</v>
      </c>
      <c r="O15" s="91">
        <v>0.03</v>
      </c>
      <c r="P15" s="91">
        <v>5.9999999999999995E-4</v>
      </c>
      <c r="Q15" s="95">
        <v>1.4999999999999999E-2</v>
      </c>
      <c r="R15" s="92">
        <v>0.05</v>
      </c>
      <c r="S15" s="91" t="s">
        <v>256</v>
      </c>
      <c r="T15" s="91" t="s">
        <v>162</v>
      </c>
    </row>
    <row r="16" spans="1:20" ht="22.5" hidden="1" x14ac:dyDescent="0.25">
      <c r="A16" s="96" t="s">
        <v>157</v>
      </c>
      <c r="B16" s="93" t="s">
        <v>162</v>
      </c>
      <c r="C16" s="91">
        <v>2022</v>
      </c>
      <c r="D16" s="91" t="s">
        <v>196</v>
      </c>
      <c r="E16" s="94">
        <v>44733</v>
      </c>
      <c r="F16" s="91" t="s">
        <v>212</v>
      </c>
      <c r="G16" s="91" t="s">
        <v>197</v>
      </c>
      <c r="H16" s="91">
        <v>11300</v>
      </c>
      <c r="I16" s="91">
        <v>15000</v>
      </c>
      <c r="J16" s="91">
        <v>40</v>
      </c>
      <c r="K16" s="91">
        <v>20</v>
      </c>
      <c r="L16" s="91" t="s">
        <v>203</v>
      </c>
      <c r="M16" s="91">
        <v>3.5</v>
      </c>
      <c r="N16" s="91">
        <v>5</v>
      </c>
      <c r="O16" s="91">
        <v>0.7</v>
      </c>
      <c r="P16" s="91">
        <v>3.9600000000000003E-2</v>
      </c>
      <c r="Q16" s="95">
        <v>0.08</v>
      </c>
      <c r="R16" s="92">
        <v>0.7</v>
      </c>
      <c r="S16" s="91" t="s">
        <v>256</v>
      </c>
      <c r="T16" s="91" t="s">
        <v>162</v>
      </c>
    </row>
    <row r="17" spans="1:20" ht="22.5" hidden="1" x14ac:dyDescent="0.25">
      <c r="A17" s="96" t="s">
        <v>157</v>
      </c>
      <c r="B17" s="93" t="s">
        <v>162</v>
      </c>
      <c r="C17" s="91">
        <v>2022</v>
      </c>
      <c r="D17" s="91" t="s">
        <v>196</v>
      </c>
      <c r="E17" s="94">
        <v>44733</v>
      </c>
      <c r="F17" s="91" t="s">
        <v>212</v>
      </c>
      <c r="G17" s="91" t="s">
        <v>197</v>
      </c>
      <c r="H17" s="91">
        <v>11300</v>
      </c>
      <c r="I17" s="91">
        <v>15000</v>
      </c>
      <c r="J17" s="91">
        <v>40</v>
      </c>
      <c r="K17" s="91">
        <v>20</v>
      </c>
      <c r="L17" s="91" t="s">
        <v>204</v>
      </c>
      <c r="M17" s="91" t="s">
        <v>205</v>
      </c>
      <c r="N17" s="91">
        <v>8</v>
      </c>
      <c r="O17" s="91">
        <v>0</v>
      </c>
      <c r="P17" s="91" t="s">
        <v>213</v>
      </c>
      <c r="Q17" s="95">
        <v>0.12</v>
      </c>
      <c r="R17" s="92">
        <v>2.5000000000000001E-2</v>
      </c>
      <c r="S17" s="91" t="s">
        <v>256</v>
      </c>
      <c r="T17" s="91" t="s">
        <v>162</v>
      </c>
    </row>
    <row r="18" spans="1:20" ht="22.5" hidden="1" x14ac:dyDescent="0.25">
      <c r="A18" s="96" t="s">
        <v>157</v>
      </c>
      <c r="B18" s="93" t="s">
        <v>162</v>
      </c>
      <c r="C18" s="91">
        <v>2022</v>
      </c>
      <c r="D18" s="91" t="s">
        <v>196</v>
      </c>
      <c r="E18" s="94">
        <v>44733</v>
      </c>
      <c r="F18" s="91" t="s">
        <v>212</v>
      </c>
      <c r="G18" s="91" t="s">
        <v>197</v>
      </c>
      <c r="H18" s="91">
        <v>11300</v>
      </c>
      <c r="I18" s="91">
        <v>15000</v>
      </c>
      <c r="J18" s="91">
        <v>40</v>
      </c>
      <c r="K18" s="91">
        <v>20</v>
      </c>
      <c r="L18" s="91" t="s">
        <v>198</v>
      </c>
      <c r="M18" s="91">
        <v>0.3</v>
      </c>
      <c r="N18" s="91">
        <v>10</v>
      </c>
      <c r="O18" s="91">
        <v>0.2</v>
      </c>
      <c r="P18" s="91">
        <v>2.8E-3</v>
      </c>
      <c r="Q18" s="95">
        <v>0.15</v>
      </c>
      <c r="R18" s="92">
        <v>0.03</v>
      </c>
      <c r="S18" s="91" t="s">
        <v>256</v>
      </c>
      <c r="T18" s="91" t="s">
        <v>162</v>
      </c>
    </row>
    <row r="19" spans="1:20" ht="22.5" hidden="1" x14ac:dyDescent="0.25">
      <c r="A19" s="96" t="s">
        <v>157</v>
      </c>
      <c r="B19" s="93" t="s">
        <v>162</v>
      </c>
      <c r="C19" s="91">
        <v>2022</v>
      </c>
      <c r="D19" s="91" t="s">
        <v>196</v>
      </c>
      <c r="E19" s="94">
        <v>44733</v>
      </c>
      <c r="F19" s="91" t="s">
        <v>212</v>
      </c>
      <c r="G19" s="91" t="s">
        <v>197</v>
      </c>
      <c r="H19" s="91">
        <v>11300</v>
      </c>
      <c r="I19" s="91">
        <v>15000</v>
      </c>
      <c r="J19" s="91">
        <v>40</v>
      </c>
      <c r="K19" s="91">
        <v>20</v>
      </c>
      <c r="L19" s="91" t="s">
        <v>201</v>
      </c>
      <c r="M19" s="91">
        <v>1.8</v>
      </c>
      <c r="N19" s="91">
        <v>20</v>
      </c>
      <c r="O19" s="91">
        <v>0.1</v>
      </c>
      <c r="P19" s="91">
        <v>2.07E-2</v>
      </c>
      <c r="Q19" s="95">
        <v>0.3</v>
      </c>
      <c r="R19" s="92">
        <v>0.09</v>
      </c>
      <c r="S19" s="91" t="s">
        <v>256</v>
      </c>
      <c r="T19" s="91" t="s">
        <v>162</v>
      </c>
    </row>
    <row r="20" spans="1:20" ht="22.5" hidden="1" x14ac:dyDescent="0.25">
      <c r="A20" s="91">
        <v>56</v>
      </c>
      <c r="B20" s="93" t="s">
        <v>257</v>
      </c>
      <c r="C20" s="91">
        <v>2022</v>
      </c>
      <c r="D20" s="91" t="s">
        <v>196</v>
      </c>
      <c r="E20" s="94">
        <v>44733</v>
      </c>
      <c r="F20" s="91" t="s">
        <v>214</v>
      </c>
      <c r="G20" s="91" t="s">
        <v>197</v>
      </c>
      <c r="H20" s="91">
        <v>11800</v>
      </c>
      <c r="I20" s="91">
        <v>23000</v>
      </c>
      <c r="J20" s="91">
        <v>43</v>
      </c>
      <c r="K20" s="91">
        <v>20</v>
      </c>
      <c r="L20" s="91" t="s">
        <v>202</v>
      </c>
      <c r="M20" s="91">
        <v>7.0000000000000007E-2</v>
      </c>
      <c r="N20" s="91">
        <v>1</v>
      </c>
      <c r="O20" s="91">
        <v>0.01</v>
      </c>
      <c r="P20" s="91">
        <v>8.0000000000000004E-4</v>
      </c>
      <c r="Q20" s="95">
        <v>2.3E-2</v>
      </c>
      <c r="R20" s="92">
        <v>7.0000000000000007E-2</v>
      </c>
      <c r="S20" s="91" t="s">
        <v>256</v>
      </c>
      <c r="T20" s="91" t="s">
        <v>257</v>
      </c>
    </row>
    <row r="21" spans="1:20" ht="22.5" hidden="1" x14ac:dyDescent="0.25">
      <c r="A21" s="91">
        <v>56</v>
      </c>
      <c r="B21" s="93" t="s">
        <v>257</v>
      </c>
      <c r="C21" s="91">
        <v>2022</v>
      </c>
      <c r="D21" s="91" t="s">
        <v>196</v>
      </c>
      <c r="E21" s="94">
        <v>44733</v>
      </c>
      <c r="F21" s="91" t="s">
        <v>214</v>
      </c>
      <c r="G21" s="91" t="s">
        <v>197</v>
      </c>
      <c r="H21" s="91">
        <v>11800</v>
      </c>
      <c r="I21" s="91">
        <v>23000</v>
      </c>
      <c r="J21" s="91">
        <v>43</v>
      </c>
      <c r="K21" s="91">
        <v>20</v>
      </c>
      <c r="L21" s="91" t="s">
        <v>203</v>
      </c>
      <c r="M21" s="91">
        <v>2.1</v>
      </c>
      <c r="N21" s="91">
        <v>5</v>
      </c>
      <c r="O21" s="91">
        <v>0.5</v>
      </c>
      <c r="P21" s="91">
        <v>2.4799999999999999E-2</v>
      </c>
      <c r="Q21" s="95">
        <v>0.115</v>
      </c>
      <c r="R21" s="92">
        <v>0.42000000000000004</v>
      </c>
      <c r="S21" s="91" t="s">
        <v>256</v>
      </c>
      <c r="T21" s="91" t="s">
        <v>257</v>
      </c>
    </row>
    <row r="22" spans="1:20" ht="22.5" hidden="1" x14ac:dyDescent="0.25">
      <c r="A22" s="91">
        <v>56</v>
      </c>
      <c r="B22" s="93" t="s">
        <v>257</v>
      </c>
      <c r="C22" s="91">
        <v>2022</v>
      </c>
      <c r="D22" s="91" t="s">
        <v>196</v>
      </c>
      <c r="E22" s="94">
        <v>44733</v>
      </c>
      <c r="F22" s="91" t="s">
        <v>214</v>
      </c>
      <c r="G22" s="91" t="s">
        <v>197</v>
      </c>
      <c r="H22" s="91">
        <v>11800</v>
      </c>
      <c r="I22" s="91">
        <v>23000</v>
      </c>
      <c r="J22" s="91">
        <v>43</v>
      </c>
      <c r="K22" s="91">
        <v>20</v>
      </c>
      <c r="L22" s="91" t="s">
        <v>204</v>
      </c>
      <c r="M22" s="91" t="s">
        <v>205</v>
      </c>
      <c r="N22" s="91">
        <v>15</v>
      </c>
      <c r="O22" s="91">
        <v>0</v>
      </c>
      <c r="P22" s="91" t="s">
        <v>207</v>
      </c>
      <c r="Q22" s="95">
        <v>0.34499999999999997</v>
      </c>
      <c r="R22" s="92">
        <v>1.3333333333333334E-2</v>
      </c>
      <c r="S22" s="91" t="s">
        <v>256</v>
      </c>
      <c r="T22" s="91" t="s">
        <v>257</v>
      </c>
    </row>
    <row r="23" spans="1:20" ht="22.5" hidden="1" x14ac:dyDescent="0.25">
      <c r="A23" s="91">
        <v>56</v>
      </c>
      <c r="B23" s="93" t="s">
        <v>257</v>
      </c>
      <c r="C23" s="91">
        <v>2022</v>
      </c>
      <c r="D23" s="91" t="s">
        <v>196</v>
      </c>
      <c r="E23" s="94">
        <v>44733</v>
      </c>
      <c r="F23" s="91" t="s">
        <v>214</v>
      </c>
      <c r="G23" s="91" t="s">
        <v>197</v>
      </c>
      <c r="H23" s="91">
        <v>11800</v>
      </c>
      <c r="I23" s="91">
        <v>23000</v>
      </c>
      <c r="J23" s="91">
        <v>43</v>
      </c>
      <c r="K23" s="91">
        <v>20</v>
      </c>
      <c r="L23" s="91" t="s">
        <v>198</v>
      </c>
      <c r="M23" s="91">
        <v>0.6</v>
      </c>
      <c r="N23" s="91">
        <v>10</v>
      </c>
      <c r="O23" s="91">
        <v>0.1</v>
      </c>
      <c r="P23" s="91">
        <v>6.7000000000000002E-3</v>
      </c>
      <c r="Q23" s="95">
        <v>0.23</v>
      </c>
      <c r="R23" s="92">
        <v>0.06</v>
      </c>
      <c r="S23" s="91" t="s">
        <v>256</v>
      </c>
      <c r="T23" s="91" t="s">
        <v>257</v>
      </c>
    </row>
    <row r="24" spans="1:20" ht="22.5" hidden="1" x14ac:dyDescent="0.25">
      <c r="A24" s="91">
        <v>56</v>
      </c>
      <c r="B24" s="93" t="s">
        <v>257</v>
      </c>
      <c r="C24" s="91">
        <v>2022</v>
      </c>
      <c r="D24" s="91" t="s">
        <v>196</v>
      </c>
      <c r="E24" s="94">
        <v>44733</v>
      </c>
      <c r="F24" s="91" t="s">
        <v>214</v>
      </c>
      <c r="G24" s="91" t="s">
        <v>197</v>
      </c>
      <c r="H24" s="91">
        <v>11800</v>
      </c>
      <c r="I24" s="91">
        <v>23000</v>
      </c>
      <c r="J24" s="91">
        <v>43</v>
      </c>
      <c r="K24" s="91">
        <v>20</v>
      </c>
      <c r="L24" s="91" t="s">
        <v>201</v>
      </c>
      <c r="M24" s="91">
        <v>4.7</v>
      </c>
      <c r="N24" s="91">
        <v>20</v>
      </c>
      <c r="O24" s="91">
        <v>0.1</v>
      </c>
      <c r="P24" s="91">
        <v>5.5500000000000001E-2</v>
      </c>
      <c r="Q24" s="95">
        <v>0.46</v>
      </c>
      <c r="R24" s="92">
        <v>0.23500000000000001</v>
      </c>
      <c r="S24" s="91" t="s">
        <v>256</v>
      </c>
      <c r="T24" s="91" t="s">
        <v>257</v>
      </c>
    </row>
    <row r="25" spans="1:20" hidden="1" x14ac:dyDescent="0.25">
      <c r="A25" s="91" t="s">
        <v>200</v>
      </c>
      <c r="B25" s="93" t="s">
        <v>260</v>
      </c>
      <c r="C25" s="91">
        <v>2022</v>
      </c>
      <c r="D25" s="91" t="s">
        <v>196</v>
      </c>
      <c r="E25" s="94">
        <v>44734</v>
      </c>
      <c r="F25" s="91" t="s">
        <v>215</v>
      </c>
      <c r="G25" s="91" t="s">
        <v>197</v>
      </c>
      <c r="H25" s="91">
        <v>40000</v>
      </c>
      <c r="I25" s="91">
        <v>40000</v>
      </c>
      <c r="J25" s="91">
        <v>95</v>
      </c>
      <c r="K25" s="91">
        <v>100</v>
      </c>
      <c r="L25" s="91" t="s">
        <v>201</v>
      </c>
      <c r="M25" s="91">
        <v>22.9</v>
      </c>
      <c r="N25" s="91">
        <v>40</v>
      </c>
      <c r="O25" s="91">
        <v>0.4</v>
      </c>
      <c r="P25" s="91">
        <v>0.9173</v>
      </c>
      <c r="Q25" s="95">
        <v>1.6</v>
      </c>
      <c r="R25" s="92">
        <v>0.57250000000000001</v>
      </c>
      <c r="S25" s="91" t="s">
        <v>256</v>
      </c>
      <c r="T25" s="91" t="e">
        <v>#N/A</v>
      </c>
    </row>
    <row r="26" spans="1:20" ht="22.5" hidden="1" x14ac:dyDescent="0.25">
      <c r="A26" s="91">
        <v>5</v>
      </c>
      <c r="B26" s="93" t="s">
        <v>160</v>
      </c>
      <c r="C26" s="91">
        <v>2022</v>
      </c>
      <c r="D26" s="91" t="s">
        <v>196</v>
      </c>
      <c r="E26" s="94">
        <v>44735</v>
      </c>
      <c r="F26" s="91" t="s">
        <v>216</v>
      </c>
      <c r="G26" s="91" t="s">
        <v>197</v>
      </c>
      <c r="H26" s="91">
        <v>2500</v>
      </c>
      <c r="I26" s="91">
        <v>8000</v>
      </c>
      <c r="J26" s="91">
        <v>32</v>
      </c>
      <c r="K26" s="91">
        <v>35</v>
      </c>
      <c r="L26" s="91" t="s">
        <v>198</v>
      </c>
      <c r="M26" s="91">
        <v>0.2</v>
      </c>
      <c r="N26" s="91">
        <v>10</v>
      </c>
      <c r="O26" s="91">
        <v>0.1</v>
      </c>
      <c r="P26" s="91">
        <v>5.0000000000000001E-4</v>
      </c>
      <c r="Q26" s="95">
        <v>0.08</v>
      </c>
      <c r="R26" s="92">
        <v>0.02</v>
      </c>
      <c r="S26" s="91" t="s">
        <v>256</v>
      </c>
      <c r="T26" s="91" t="s">
        <v>160</v>
      </c>
    </row>
    <row r="27" spans="1:20" ht="22.5" hidden="1" x14ac:dyDescent="0.25">
      <c r="A27" s="91">
        <v>5</v>
      </c>
      <c r="B27" s="93" t="s">
        <v>160</v>
      </c>
      <c r="C27" s="91">
        <v>2022</v>
      </c>
      <c r="D27" s="91" t="s">
        <v>196</v>
      </c>
      <c r="E27" s="94">
        <v>44735</v>
      </c>
      <c r="F27" s="91" t="s">
        <v>216</v>
      </c>
      <c r="G27" s="91" t="s">
        <v>197</v>
      </c>
      <c r="H27" s="91">
        <v>2500</v>
      </c>
      <c r="I27" s="91">
        <v>8000</v>
      </c>
      <c r="J27" s="91">
        <v>32</v>
      </c>
      <c r="K27" s="91">
        <v>35</v>
      </c>
      <c r="L27" s="91" t="s">
        <v>201</v>
      </c>
      <c r="M27" s="91">
        <v>1.3</v>
      </c>
      <c r="N27" s="91">
        <v>20</v>
      </c>
      <c r="O27" s="91">
        <v>0.2</v>
      </c>
      <c r="P27" s="91">
        <v>3.3E-3</v>
      </c>
      <c r="Q27" s="95">
        <v>0.16</v>
      </c>
      <c r="R27" s="92">
        <v>6.5000000000000002E-2</v>
      </c>
      <c r="S27" s="91" t="s">
        <v>256</v>
      </c>
      <c r="T27" s="91" t="s">
        <v>160</v>
      </c>
    </row>
    <row r="28" spans="1:20" ht="22.5" hidden="1" x14ac:dyDescent="0.25">
      <c r="A28" s="91">
        <v>5</v>
      </c>
      <c r="B28" s="93" t="s">
        <v>160</v>
      </c>
      <c r="C28" s="91">
        <v>2022</v>
      </c>
      <c r="D28" s="91" t="s">
        <v>196</v>
      </c>
      <c r="E28" s="94">
        <v>44735</v>
      </c>
      <c r="F28" s="91" t="s">
        <v>216</v>
      </c>
      <c r="G28" s="91" t="s">
        <v>197</v>
      </c>
      <c r="H28" s="91">
        <v>2500</v>
      </c>
      <c r="I28" s="91">
        <v>8000</v>
      </c>
      <c r="J28" s="91">
        <v>32</v>
      </c>
      <c r="K28" s="91">
        <v>35</v>
      </c>
      <c r="L28" s="91" t="s">
        <v>203</v>
      </c>
      <c r="M28" s="91">
        <v>3.7</v>
      </c>
      <c r="N28" s="91">
        <v>5</v>
      </c>
      <c r="O28" s="91">
        <v>0.5</v>
      </c>
      <c r="P28" s="91">
        <v>9.1999999999999998E-3</v>
      </c>
      <c r="Q28" s="95">
        <v>0.04</v>
      </c>
      <c r="R28" s="92">
        <v>0.74</v>
      </c>
      <c r="S28" s="91" t="s">
        <v>256</v>
      </c>
      <c r="T28" s="91" t="s">
        <v>160</v>
      </c>
    </row>
    <row r="29" spans="1:20" ht="22.5" hidden="1" x14ac:dyDescent="0.25">
      <c r="A29" s="91">
        <v>5</v>
      </c>
      <c r="B29" s="93" t="s">
        <v>160</v>
      </c>
      <c r="C29" s="91">
        <v>2022</v>
      </c>
      <c r="D29" s="91" t="s">
        <v>196</v>
      </c>
      <c r="E29" s="94">
        <v>44735</v>
      </c>
      <c r="F29" s="91" t="s">
        <v>216</v>
      </c>
      <c r="G29" s="91" t="s">
        <v>197</v>
      </c>
      <c r="H29" s="91">
        <v>2500</v>
      </c>
      <c r="I29" s="91">
        <v>8000</v>
      </c>
      <c r="J29" s="91">
        <v>32</v>
      </c>
      <c r="K29" s="91">
        <v>35</v>
      </c>
      <c r="L29" s="91" t="s">
        <v>204</v>
      </c>
      <c r="M29" s="91" t="s">
        <v>205</v>
      </c>
      <c r="N29" s="91">
        <v>15</v>
      </c>
      <c r="O29" s="91">
        <v>0</v>
      </c>
      <c r="P29" s="91" t="s">
        <v>217</v>
      </c>
      <c r="Q29" s="95">
        <v>0.12</v>
      </c>
      <c r="R29" s="92">
        <v>1.3333333333333334E-2</v>
      </c>
      <c r="S29" s="91" t="s">
        <v>256</v>
      </c>
      <c r="T29" s="91" t="s">
        <v>160</v>
      </c>
    </row>
    <row r="30" spans="1:20" ht="22.5" hidden="1" x14ac:dyDescent="0.25">
      <c r="A30" s="91">
        <v>5</v>
      </c>
      <c r="B30" s="93" t="s">
        <v>160</v>
      </c>
      <c r="C30" s="91">
        <v>2022</v>
      </c>
      <c r="D30" s="91" t="s">
        <v>196</v>
      </c>
      <c r="E30" s="94">
        <v>44735</v>
      </c>
      <c r="F30" s="91" t="s">
        <v>216</v>
      </c>
      <c r="G30" s="91" t="s">
        <v>197</v>
      </c>
      <c r="H30" s="91">
        <v>2500</v>
      </c>
      <c r="I30" s="91">
        <v>8000</v>
      </c>
      <c r="J30" s="91">
        <v>32</v>
      </c>
      <c r="K30" s="91">
        <v>35</v>
      </c>
      <c r="L30" s="91" t="s">
        <v>218</v>
      </c>
      <c r="M30" s="91">
        <v>0.04</v>
      </c>
      <c r="N30" s="91">
        <v>1</v>
      </c>
      <c r="O30" s="91">
        <v>0</v>
      </c>
      <c r="P30" s="91">
        <v>1E-4</v>
      </c>
      <c r="Q30" s="95">
        <v>8.0000000000000002E-3</v>
      </c>
      <c r="R30" s="92">
        <v>0.04</v>
      </c>
      <c r="S30" s="91" t="s">
        <v>256</v>
      </c>
      <c r="T30" s="91" t="s">
        <v>160</v>
      </c>
    </row>
    <row r="31" spans="1:20" ht="22.5" hidden="1" x14ac:dyDescent="0.25">
      <c r="A31" s="91">
        <v>14</v>
      </c>
      <c r="B31" s="93" t="s">
        <v>163</v>
      </c>
      <c r="C31" s="91">
        <v>2022</v>
      </c>
      <c r="D31" s="91" t="s">
        <v>196</v>
      </c>
      <c r="E31" s="94">
        <v>44735</v>
      </c>
      <c r="F31" s="91" t="s">
        <v>219</v>
      </c>
      <c r="G31" s="91" t="s">
        <v>197</v>
      </c>
      <c r="H31" s="91">
        <v>4900</v>
      </c>
      <c r="I31" s="91">
        <v>8000</v>
      </c>
      <c r="J31" s="91">
        <v>28</v>
      </c>
      <c r="K31" s="91">
        <v>30</v>
      </c>
      <c r="L31" s="91" t="s">
        <v>202</v>
      </c>
      <c r="M31" s="91">
        <v>0.03</v>
      </c>
      <c r="N31" s="91">
        <v>1</v>
      </c>
      <c r="O31" s="91">
        <v>0.01</v>
      </c>
      <c r="P31" s="91">
        <v>2.0000000000000001E-4</v>
      </c>
      <c r="Q31" s="95">
        <v>8.0000000000000002E-3</v>
      </c>
      <c r="R31" s="92">
        <v>0.03</v>
      </c>
      <c r="S31" s="91" t="s">
        <v>256</v>
      </c>
      <c r="T31" s="91" t="s">
        <v>163</v>
      </c>
    </row>
    <row r="32" spans="1:20" ht="22.5" hidden="1" x14ac:dyDescent="0.25">
      <c r="A32" s="91">
        <v>14</v>
      </c>
      <c r="B32" s="93" t="s">
        <v>163</v>
      </c>
      <c r="C32" s="91">
        <v>2022</v>
      </c>
      <c r="D32" s="91" t="s">
        <v>196</v>
      </c>
      <c r="E32" s="94">
        <v>44735</v>
      </c>
      <c r="F32" s="91" t="s">
        <v>219</v>
      </c>
      <c r="G32" s="91" t="s">
        <v>197</v>
      </c>
      <c r="H32" s="91">
        <v>4900</v>
      </c>
      <c r="I32" s="91">
        <v>8000</v>
      </c>
      <c r="J32" s="91">
        <v>28</v>
      </c>
      <c r="K32" s="91">
        <v>30</v>
      </c>
      <c r="L32" s="91" t="s">
        <v>203</v>
      </c>
      <c r="M32" s="91">
        <v>3</v>
      </c>
      <c r="N32" s="91">
        <v>5</v>
      </c>
      <c r="O32" s="91">
        <v>0.9</v>
      </c>
      <c r="P32" s="91">
        <v>1.4500000000000001E-2</v>
      </c>
      <c r="Q32" s="95">
        <v>0.04</v>
      </c>
      <c r="R32" s="92">
        <v>0.6</v>
      </c>
      <c r="S32" s="91" t="s">
        <v>256</v>
      </c>
      <c r="T32" s="91" t="s">
        <v>163</v>
      </c>
    </row>
    <row r="33" spans="1:20" ht="22.5" hidden="1" x14ac:dyDescent="0.25">
      <c r="A33" s="91">
        <v>14</v>
      </c>
      <c r="B33" s="93" t="s">
        <v>163</v>
      </c>
      <c r="C33" s="91">
        <v>2022</v>
      </c>
      <c r="D33" s="91" t="s">
        <v>196</v>
      </c>
      <c r="E33" s="94">
        <v>44735</v>
      </c>
      <c r="F33" s="91" t="s">
        <v>219</v>
      </c>
      <c r="G33" s="91" t="s">
        <v>197</v>
      </c>
      <c r="H33" s="91">
        <v>4900</v>
      </c>
      <c r="I33" s="91">
        <v>8000</v>
      </c>
      <c r="J33" s="91">
        <v>28</v>
      </c>
      <c r="K33" s="91">
        <v>30</v>
      </c>
      <c r="L33" s="91" t="s">
        <v>204</v>
      </c>
      <c r="M33" s="91" t="s">
        <v>205</v>
      </c>
      <c r="N33" s="91">
        <v>15</v>
      </c>
      <c r="O33" s="91">
        <v>0</v>
      </c>
      <c r="P33" s="91" t="s">
        <v>220</v>
      </c>
      <c r="Q33" s="95">
        <v>0.12</v>
      </c>
      <c r="R33" s="92">
        <v>1.3333333333333334E-2</v>
      </c>
      <c r="S33" s="91" t="s">
        <v>256</v>
      </c>
      <c r="T33" s="91" t="s">
        <v>163</v>
      </c>
    </row>
    <row r="34" spans="1:20" ht="22.5" hidden="1" x14ac:dyDescent="0.25">
      <c r="A34" s="91">
        <v>14</v>
      </c>
      <c r="B34" s="93" t="s">
        <v>163</v>
      </c>
      <c r="C34" s="91">
        <v>2022</v>
      </c>
      <c r="D34" s="91" t="s">
        <v>196</v>
      </c>
      <c r="E34" s="94">
        <v>44735</v>
      </c>
      <c r="F34" s="91" t="s">
        <v>219</v>
      </c>
      <c r="G34" s="91" t="s">
        <v>197</v>
      </c>
      <c r="H34" s="91">
        <v>4900</v>
      </c>
      <c r="I34" s="91">
        <v>8000</v>
      </c>
      <c r="J34" s="91">
        <v>28</v>
      </c>
      <c r="K34" s="91">
        <v>30</v>
      </c>
      <c r="L34" s="91" t="s">
        <v>198</v>
      </c>
      <c r="M34" s="91">
        <v>0.3</v>
      </c>
      <c r="N34" s="91">
        <v>10</v>
      </c>
      <c r="O34" s="91">
        <v>0.1</v>
      </c>
      <c r="P34" s="91">
        <v>1.6000000000000001E-3</v>
      </c>
      <c r="Q34" s="95">
        <v>0.08</v>
      </c>
      <c r="R34" s="92">
        <v>0.03</v>
      </c>
      <c r="S34" s="91" t="s">
        <v>256</v>
      </c>
      <c r="T34" s="91" t="s">
        <v>163</v>
      </c>
    </row>
    <row r="35" spans="1:20" ht="22.5" hidden="1" x14ac:dyDescent="0.25">
      <c r="A35" s="91">
        <v>14</v>
      </c>
      <c r="B35" s="93" t="s">
        <v>163</v>
      </c>
      <c r="C35" s="91">
        <v>2022</v>
      </c>
      <c r="D35" s="91" t="s">
        <v>196</v>
      </c>
      <c r="E35" s="94">
        <v>44735</v>
      </c>
      <c r="F35" s="91" t="s">
        <v>219</v>
      </c>
      <c r="G35" s="91" t="s">
        <v>197</v>
      </c>
      <c r="H35" s="91">
        <v>4900</v>
      </c>
      <c r="I35" s="91">
        <v>8000</v>
      </c>
      <c r="J35" s="91">
        <v>28</v>
      </c>
      <c r="K35" s="91">
        <v>30</v>
      </c>
      <c r="L35" s="91" t="s">
        <v>201</v>
      </c>
      <c r="M35" s="91">
        <v>1.1000000000000001</v>
      </c>
      <c r="N35" s="91">
        <v>10</v>
      </c>
      <c r="O35" s="91">
        <v>0.5</v>
      </c>
      <c r="P35" s="91">
        <v>5.4999999999999997E-3</v>
      </c>
      <c r="Q35" s="95">
        <v>0.08</v>
      </c>
      <c r="R35" s="92">
        <v>0.11000000000000001</v>
      </c>
      <c r="S35" s="91" t="s">
        <v>256</v>
      </c>
      <c r="T35" s="91" t="s">
        <v>163</v>
      </c>
    </row>
    <row r="36" spans="1:20" ht="22.5" hidden="1" x14ac:dyDescent="0.25">
      <c r="A36" s="91">
        <v>113</v>
      </c>
      <c r="B36" s="93" t="s">
        <v>171</v>
      </c>
      <c r="C36" s="91">
        <v>2022</v>
      </c>
      <c r="D36" s="91" t="s">
        <v>196</v>
      </c>
      <c r="E36" s="94">
        <v>44735</v>
      </c>
      <c r="F36" s="91" t="s">
        <v>221</v>
      </c>
      <c r="G36" s="91" t="s">
        <v>197</v>
      </c>
      <c r="H36" s="91">
        <v>12400</v>
      </c>
      <c r="I36" s="91">
        <v>15000</v>
      </c>
      <c r="J36" s="91">
        <v>36</v>
      </c>
      <c r="K36" s="91">
        <v>20</v>
      </c>
      <c r="L36" s="91" t="s">
        <v>202</v>
      </c>
      <c r="M36" s="91">
        <v>0.05</v>
      </c>
      <c r="N36" s="91">
        <v>1</v>
      </c>
      <c r="O36" s="91">
        <v>0.02</v>
      </c>
      <c r="P36" s="91">
        <v>6.9999999999999999E-4</v>
      </c>
      <c r="Q36" s="95">
        <v>1.5900000000000001E-2</v>
      </c>
      <c r="R36" s="92">
        <v>0.05</v>
      </c>
      <c r="S36" s="91" t="s">
        <v>256</v>
      </c>
      <c r="T36" s="91" t="s">
        <v>171</v>
      </c>
    </row>
    <row r="37" spans="1:20" ht="22.5" hidden="1" x14ac:dyDescent="0.25">
      <c r="A37" s="91">
        <v>113</v>
      </c>
      <c r="B37" s="93" t="s">
        <v>171</v>
      </c>
      <c r="C37" s="91">
        <v>2022</v>
      </c>
      <c r="D37" s="91" t="s">
        <v>196</v>
      </c>
      <c r="E37" s="94">
        <v>44735</v>
      </c>
      <c r="F37" s="91" t="s">
        <v>221</v>
      </c>
      <c r="G37" s="91" t="s">
        <v>197</v>
      </c>
      <c r="H37" s="91">
        <v>12400</v>
      </c>
      <c r="I37" s="91">
        <v>15000</v>
      </c>
      <c r="J37" s="91">
        <v>36</v>
      </c>
      <c r="K37" s="91">
        <v>20</v>
      </c>
      <c r="L37" s="91" t="s">
        <v>203</v>
      </c>
      <c r="M37" s="91">
        <v>1.8</v>
      </c>
      <c r="N37" s="91">
        <v>5</v>
      </c>
      <c r="O37" s="91">
        <v>0.5</v>
      </c>
      <c r="P37" s="91">
        <v>2.1899999999999999E-2</v>
      </c>
      <c r="Q37" s="95">
        <v>7.4999999999999997E-2</v>
      </c>
      <c r="R37" s="92">
        <v>0.36</v>
      </c>
      <c r="S37" s="91" t="s">
        <v>256</v>
      </c>
      <c r="T37" s="91" t="s">
        <v>171</v>
      </c>
    </row>
    <row r="38" spans="1:20" ht="22.5" hidden="1" x14ac:dyDescent="0.25">
      <c r="A38" s="91">
        <v>113</v>
      </c>
      <c r="B38" s="93" t="s">
        <v>171</v>
      </c>
      <c r="C38" s="91">
        <v>2022</v>
      </c>
      <c r="D38" s="91" t="s">
        <v>196</v>
      </c>
      <c r="E38" s="94">
        <v>44735</v>
      </c>
      <c r="F38" s="91" t="s">
        <v>221</v>
      </c>
      <c r="G38" s="91" t="s">
        <v>197</v>
      </c>
      <c r="H38" s="91">
        <v>12400</v>
      </c>
      <c r="I38" s="91">
        <v>15000</v>
      </c>
      <c r="J38" s="91">
        <v>36</v>
      </c>
      <c r="K38" s="91">
        <v>20</v>
      </c>
      <c r="L38" s="91" t="s">
        <v>204</v>
      </c>
      <c r="M38" s="91" t="s">
        <v>205</v>
      </c>
      <c r="N38" s="91">
        <v>8</v>
      </c>
      <c r="O38" s="91">
        <v>0</v>
      </c>
      <c r="P38" s="91" t="s">
        <v>222</v>
      </c>
      <c r="Q38" s="95">
        <v>0.12</v>
      </c>
      <c r="R38" s="92">
        <v>2.5000000000000001E-2</v>
      </c>
      <c r="S38" s="91" t="s">
        <v>256</v>
      </c>
      <c r="T38" s="91" t="s">
        <v>171</v>
      </c>
    </row>
    <row r="39" spans="1:20" ht="22.5" hidden="1" x14ac:dyDescent="0.25">
      <c r="A39" s="91">
        <v>113</v>
      </c>
      <c r="B39" s="93" t="s">
        <v>171</v>
      </c>
      <c r="C39" s="91">
        <v>2022</v>
      </c>
      <c r="D39" s="91" t="s">
        <v>196</v>
      </c>
      <c r="E39" s="94">
        <v>44735</v>
      </c>
      <c r="F39" s="91" t="s">
        <v>221</v>
      </c>
      <c r="G39" s="91" t="s">
        <v>197</v>
      </c>
      <c r="H39" s="91">
        <v>12400</v>
      </c>
      <c r="I39" s="91">
        <v>15000</v>
      </c>
      <c r="J39" s="91">
        <v>36</v>
      </c>
      <c r="K39" s="91">
        <v>20</v>
      </c>
      <c r="L39" s="91" t="s">
        <v>198</v>
      </c>
      <c r="M39" s="91">
        <v>0.4</v>
      </c>
      <c r="N39" s="91">
        <v>10</v>
      </c>
      <c r="O39" s="91">
        <v>0.1</v>
      </c>
      <c r="P39" s="91">
        <v>4.4999999999999997E-3</v>
      </c>
      <c r="Q39" s="95">
        <v>0.15</v>
      </c>
      <c r="R39" s="92">
        <v>0.04</v>
      </c>
      <c r="S39" s="91" t="s">
        <v>256</v>
      </c>
      <c r="T39" s="91" t="s">
        <v>171</v>
      </c>
    </row>
    <row r="40" spans="1:20" ht="22.5" hidden="1" x14ac:dyDescent="0.25">
      <c r="A40" s="91">
        <v>113</v>
      </c>
      <c r="B40" s="93" t="s">
        <v>171</v>
      </c>
      <c r="C40" s="91">
        <v>2022</v>
      </c>
      <c r="D40" s="91" t="s">
        <v>196</v>
      </c>
      <c r="E40" s="94">
        <v>44735</v>
      </c>
      <c r="F40" s="91" t="s">
        <v>221</v>
      </c>
      <c r="G40" s="91" t="s">
        <v>197</v>
      </c>
      <c r="H40" s="91">
        <v>12400</v>
      </c>
      <c r="I40" s="91">
        <v>15000</v>
      </c>
      <c r="J40" s="91">
        <v>36</v>
      </c>
      <c r="K40" s="91">
        <v>20</v>
      </c>
      <c r="L40" s="91" t="s">
        <v>201</v>
      </c>
      <c r="M40" s="91">
        <v>1.3</v>
      </c>
      <c r="N40" s="91">
        <v>20</v>
      </c>
      <c r="O40" s="91">
        <v>0</v>
      </c>
      <c r="P40" s="91">
        <v>1.61E-2</v>
      </c>
      <c r="Q40" s="95">
        <v>0.3</v>
      </c>
      <c r="R40" s="92">
        <v>6.5000000000000002E-2</v>
      </c>
      <c r="S40" s="91" t="s">
        <v>256</v>
      </c>
      <c r="T40" s="91" t="s">
        <v>171</v>
      </c>
    </row>
    <row r="41" spans="1:20" hidden="1" x14ac:dyDescent="0.25">
      <c r="A41" s="91">
        <v>66</v>
      </c>
      <c r="B41" s="93" t="s">
        <v>169</v>
      </c>
      <c r="C41" s="91">
        <v>2022</v>
      </c>
      <c r="D41" s="91" t="s">
        <v>196</v>
      </c>
      <c r="E41" s="94">
        <v>44862</v>
      </c>
      <c r="F41" s="91" t="s">
        <v>223</v>
      </c>
      <c r="G41" s="91" t="s">
        <v>197</v>
      </c>
      <c r="H41" s="91">
        <v>3000</v>
      </c>
      <c r="I41" s="91">
        <v>6000</v>
      </c>
      <c r="J41" s="91">
        <v>177</v>
      </c>
      <c r="K41" s="91">
        <v>200</v>
      </c>
      <c r="L41" s="91" t="s">
        <v>224</v>
      </c>
      <c r="M41" s="91">
        <v>119</v>
      </c>
      <c r="N41" s="91">
        <v>200</v>
      </c>
      <c r="O41" s="91">
        <v>2</v>
      </c>
      <c r="P41" s="91">
        <v>0.31</v>
      </c>
      <c r="Q41" s="95">
        <v>1.2</v>
      </c>
      <c r="R41" s="92">
        <v>0.59499999999999997</v>
      </c>
      <c r="S41" s="91" t="s">
        <v>256</v>
      </c>
      <c r="T41" s="91" t="s">
        <v>169</v>
      </c>
    </row>
    <row r="42" spans="1:20" hidden="1" x14ac:dyDescent="0.25">
      <c r="A42" s="91">
        <v>66</v>
      </c>
      <c r="B42" s="93" t="s">
        <v>169</v>
      </c>
      <c r="C42" s="91">
        <v>2022</v>
      </c>
      <c r="D42" s="91" t="s">
        <v>196</v>
      </c>
      <c r="E42" s="94">
        <v>44862</v>
      </c>
      <c r="F42" s="91" t="s">
        <v>223</v>
      </c>
      <c r="G42" s="91" t="s">
        <v>197</v>
      </c>
      <c r="H42" s="91">
        <v>3000</v>
      </c>
      <c r="I42" s="91">
        <v>6000</v>
      </c>
      <c r="J42" s="91">
        <v>177</v>
      </c>
      <c r="K42" s="91">
        <v>200</v>
      </c>
      <c r="L42" s="91" t="s">
        <v>210</v>
      </c>
      <c r="M42" s="91" t="s">
        <v>205</v>
      </c>
      <c r="N42" s="91">
        <v>10</v>
      </c>
      <c r="O42" s="91">
        <v>0</v>
      </c>
      <c r="P42" s="91" t="s">
        <v>217</v>
      </c>
      <c r="Q42" s="95">
        <v>0.03</v>
      </c>
      <c r="R42" s="92">
        <v>0.02</v>
      </c>
      <c r="S42" s="91" t="s">
        <v>256</v>
      </c>
      <c r="T42" s="91" t="s">
        <v>169</v>
      </c>
    </row>
    <row r="43" spans="1:20" ht="22.5" hidden="1" x14ac:dyDescent="0.25">
      <c r="A43" s="91">
        <v>119</v>
      </c>
      <c r="B43" s="93" t="s">
        <v>173</v>
      </c>
      <c r="C43" s="91">
        <v>2022</v>
      </c>
      <c r="D43" s="91" t="s">
        <v>196</v>
      </c>
      <c r="E43" s="94">
        <v>44862</v>
      </c>
      <c r="F43" s="91" t="s">
        <v>225</v>
      </c>
      <c r="G43" s="91" t="s">
        <v>197</v>
      </c>
      <c r="H43" s="91">
        <v>46300</v>
      </c>
      <c r="I43" s="91">
        <v>40000</v>
      </c>
      <c r="J43" s="91">
        <v>76</v>
      </c>
      <c r="K43" s="91">
        <v>40</v>
      </c>
      <c r="L43" s="91" t="s">
        <v>210</v>
      </c>
      <c r="M43" s="91">
        <v>1.3</v>
      </c>
      <c r="N43" s="91">
        <v>10</v>
      </c>
      <c r="O43" s="91">
        <v>0.1</v>
      </c>
      <c r="P43" s="91">
        <v>5.8599999999999999E-2</v>
      </c>
      <c r="Q43" s="95">
        <v>0.4</v>
      </c>
      <c r="R43" s="92">
        <v>0.13</v>
      </c>
      <c r="S43" s="91" t="s">
        <v>256</v>
      </c>
      <c r="T43" s="91" t="s">
        <v>173</v>
      </c>
    </row>
    <row r="44" spans="1:20" ht="22.5" hidden="1" x14ac:dyDescent="0.25">
      <c r="A44" s="91">
        <v>119</v>
      </c>
      <c r="B44" s="93" t="s">
        <v>173</v>
      </c>
      <c r="C44" s="91">
        <v>2022</v>
      </c>
      <c r="D44" s="91" t="s">
        <v>196</v>
      </c>
      <c r="E44" s="94">
        <v>44862</v>
      </c>
      <c r="F44" s="91" t="s">
        <v>225</v>
      </c>
      <c r="G44" s="91" t="s">
        <v>197</v>
      </c>
      <c r="H44" s="91">
        <v>46300</v>
      </c>
      <c r="I44" s="91">
        <v>40000</v>
      </c>
      <c r="J44" s="91">
        <v>76</v>
      </c>
      <c r="K44" s="91">
        <v>40</v>
      </c>
      <c r="L44" s="91" t="s">
        <v>201</v>
      </c>
      <c r="M44" s="91">
        <v>10.4</v>
      </c>
      <c r="N44" s="91">
        <v>50</v>
      </c>
      <c r="O44" s="91">
        <v>0.7</v>
      </c>
      <c r="P44" s="91">
        <v>0.48149999999999998</v>
      </c>
      <c r="Q44" s="95">
        <v>2</v>
      </c>
      <c r="R44" s="92">
        <v>0.20800000000000002</v>
      </c>
      <c r="S44" s="91" t="s">
        <v>256</v>
      </c>
      <c r="T44" s="91" t="s">
        <v>173</v>
      </c>
    </row>
    <row r="45" spans="1:20" ht="22.5" hidden="1" x14ac:dyDescent="0.25">
      <c r="A45" s="91">
        <v>116</v>
      </c>
      <c r="B45" s="93" t="s">
        <v>172</v>
      </c>
      <c r="C45" s="91">
        <v>2023</v>
      </c>
      <c r="D45" s="91" t="s">
        <v>196</v>
      </c>
      <c r="E45" s="94">
        <v>44994</v>
      </c>
      <c r="F45" s="91" t="s">
        <v>226</v>
      </c>
      <c r="G45" s="91" t="s">
        <v>197</v>
      </c>
      <c r="H45" s="91">
        <v>22300</v>
      </c>
      <c r="I45" s="91">
        <v>25000</v>
      </c>
      <c r="J45" s="91">
        <v>34</v>
      </c>
      <c r="K45" s="91"/>
      <c r="L45" s="91" t="s">
        <v>202</v>
      </c>
      <c r="M45" s="91">
        <v>0.01</v>
      </c>
      <c r="N45" s="91">
        <v>1</v>
      </c>
      <c r="O45" s="91">
        <v>0</v>
      </c>
      <c r="P45" s="91">
        <v>2.0000000000000001E-4</v>
      </c>
      <c r="Q45" s="95">
        <v>2.5000000000000001E-2</v>
      </c>
      <c r="R45" s="92">
        <v>0.01</v>
      </c>
      <c r="S45" s="91" t="s">
        <v>256</v>
      </c>
      <c r="T45" s="91" t="s">
        <v>172</v>
      </c>
    </row>
    <row r="46" spans="1:20" ht="22.5" hidden="1" x14ac:dyDescent="0.25">
      <c r="A46" s="91">
        <v>116</v>
      </c>
      <c r="B46" s="93" t="s">
        <v>172</v>
      </c>
      <c r="C46" s="91">
        <v>2023</v>
      </c>
      <c r="D46" s="91" t="s">
        <v>196</v>
      </c>
      <c r="E46" s="94">
        <v>44994</v>
      </c>
      <c r="F46" s="91" t="s">
        <v>226</v>
      </c>
      <c r="G46" s="91" t="s">
        <v>197</v>
      </c>
      <c r="H46" s="91">
        <v>22300</v>
      </c>
      <c r="I46" s="91">
        <v>25000</v>
      </c>
      <c r="J46" s="91">
        <v>34</v>
      </c>
      <c r="K46" s="91"/>
      <c r="L46" s="91" t="s">
        <v>203</v>
      </c>
      <c r="M46" s="91" t="s">
        <v>205</v>
      </c>
      <c r="N46" s="91">
        <v>5</v>
      </c>
      <c r="O46" s="91">
        <v>0</v>
      </c>
      <c r="P46" s="91" t="s">
        <v>227</v>
      </c>
      <c r="Q46" s="95">
        <v>0.125</v>
      </c>
      <c r="R46" s="92">
        <v>0.04</v>
      </c>
      <c r="S46" s="91" t="s">
        <v>256</v>
      </c>
      <c r="T46" s="91" t="s">
        <v>172</v>
      </c>
    </row>
    <row r="47" spans="1:20" ht="22.5" hidden="1" x14ac:dyDescent="0.25">
      <c r="A47" s="91">
        <v>116</v>
      </c>
      <c r="B47" s="93" t="s">
        <v>172</v>
      </c>
      <c r="C47" s="91">
        <v>2023</v>
      </c>
      <c r="D47" s="91" t="s">
        <v>196</v>
      </c>
      <c r="E47" s="94">
        <v>44994</v>
      </c>
      <c r="F47" s="91" t="s">
        <v>226</v>
      </c>
      <c r="G47" s="91" t="s">
        <v>197</v>
      </c>
      <c r="H47" s="91">
        <v>22300</v>
      </c>
      <c r="I47" s="91">
        <v>25000</v>
      </c>
      <c r="J47" s="91">
        <v>34</v>
      </c>
      <c r="K47" s="91"/>
      <c r="L47" s="91" t="s">
        <v>204</v>
      </c>
      <c r="M47" s="91" t="s">
        <v>206</v>
      </c>
      <c r="N47" s="91">
        <v>15</v>
      </c>
      <c r="O47" s="91">
        <v>0</v>
      </c>
      <c r="P47" s="91" t="s">
        <v>228</v>
      </c>
      <c r="Q47" s="95">
        <v>0.375</v>
      </c>
      <c r="R47" s="92">
        <v>6.6666666666666671E-3</v>
      </c>
      <c r="S47" s="91" t="s">
        <v>256</v>
      </c>
      <c r="T47" s="91" t="s">
        <v>172</v>
      </c>
    </row>
    <row r="48" spans="1:20" ht="22.5" hidden="1" x14ac:dyDescent="0.25">
      <c r="A48" s="91">
        <v>116</v>
      </c>
      <c r="B48" s="93" t="s">
        <v>172</v>
      </c>
      <c r="C48" s="91">
        <v>2023</v>
      </c>
      <c r="D48" s="91" t="s">
        <v>196</v>
      </c>
      <c r="E48" s="94">
        <v>44994</v>
      </c>
      <c r="F48" s="91" t="s">
        <v>226</v>
      </c>
      <c r="G48" s="91" t="s">
        <v>197</v>
      </c>
      <c r="H48" s="91">
        <v>22300</v>
      </c>
      <c r="I48" s="91">
        <v>25000</v>
      </c>
      <c r="J48" s="91">
        <v>34</v>
      </c>
      <c r="K48" s="91"/>
      <c r="L48" s="91" t="s">
        <v>198</v>
      </c>
      <c r="M48" s="91">
        <v>0.1</v>
      </c>
      <c r="N48" s="91">
        <v>10</v>
      </c>
      <c r="O48" s="91">
        <v>0.1</v>
      </c>
      <c r="P48" s="91">
        <v>3.0000000000000001E-3</v>
      </c>
      <c r="Q48" s="95">
        <v>0.25</v>
      </c>
      <c r="R48" s="92">
        <v>0.01</v>
      </c>
      <c r="S48" s="91" t="s">
        <v>256</v>
      </c>
      <c r="T48" s="91" t="s">
        <v>172</v>
      </c>
    </row>
    <row r="49" spans="1:20" ht="22.5" hidden="1" x14ac:dyDescent="0.25">
      <c r="A49" s="91">
        <v>116</v>
      </c>
      <c r="B49" s="93" t="s">
        <v>172</v>
      </c>
      <c r="C49" s="91">
        <v>2023</v>
      </c>
      <c r="D49" s="91" t="s">
        <v>196</v>
      </c>
      <c r="E49" s="94">
        <v>44994</v>
      </c>
      <c r="F49" s="91" t="s">
        <v>226</v>
      </c>
      <c r="G49" s="91" t="s">
        <v>197</v>
      </c>
      <c r="H49" s="91">
        <v>22300</v>
      </c>
      <c r="I49" s="91">
        <v>25000</v>
      </c>
      <c r="J49" s="91">
        <v>34</v>
      </c>
      <c r="K49" s="91"/>
      <c r="L49" s="91" t="s">
        <v>201</v>
      </c>
      <c r="M49" s="91">
        <v>3.1</v>
      </c>
      <c r="N49" s="91">
        <v>20</v>
      </c>
      <c r="O49" s="91">
        <v>0.2</v>
      </c>
      <c r="P49" s="91">
        <v>6.9099999999999995E-2</v>
      </c>
      <c r="Q49" s="95">
        <v>0.5</v>
      </c>
      <c r="R49" s="92">
        <v>0.155</v>
      </c>
      <c r="S49" s="91" t="s">
        <v>256</v>
      </c>
      <c r="T49" s="91" t="s">
        <v>172</v>
      </c>
    </row>
    <row r="50" spans="1:20" hidden="1" x14ac:dyDescent="0.25">
      <c r="A50" s="91" t="s">
        <v>200</v>
      </c>
      <c r="B50" s="93" t="s">
        <v>260</v>
      </c>
      <c r="C50" s="91">
        <v>2023</v>
      </c>
      <c r="D50" s="91" t="s">
        <v>196</v>
      </c>
      <c r="E50" s="94">
        <v>44994</v>
      </c>
      <c r="F50" s="91" t="s">
        <v>229</v>
      </c>
      <c r="G50" s="91" t="s">
        <v>197</v>
      </c>
      <c r="H50" s="91">
        <v>39200</v>
      </c>
      <c r="I50" s="91">
        <v>40000</v>
      </c>
      <c r="J50" s="91">
        <v>99</v>
      </c>
      <c r="K50" s="91">
        <v>100</v>
      </c>
      <c r="L50" s="91" t="s">
        <v>201</v>
      </c>
      <c r="M50" s="91">
        <v>18.399999999999999</v>
      </c>
      <c r="N50" s="91">
        <v>40</v>
      </c>
      <c r="O50" s="91">
        <v>1.3</v>
      </c>
      <c r="P50" s="91">
        <v>0.72</v>
      </c>
      <c r="Q50" s="95">
        <v>1.6</v>
      </c>
      <c r="R50" s="92">
        <v>0.45999999999999996</v>
      </c>
      <c r="S50" s="91" t="s">
        <v>256</v>
      </c>
      <c r="T50" s="91" t="e">
        <v>#N/A</v>
      </c>
    </row>
    <row r="51" spans="1:20" ht="22.5" hidden="1" x14ac:dyDescent="0.25">
      <c r="A51" s="91">
        <v>119</v>
      </c>
      <c r="B51" s="93" t="s">
        <v>173</v>
      </c>
      <c r="C51" s="91">
        <v>2023</v>
      </c>
      <c r="D51" s="91" t="s">
        <v>196</v>
      </c>
      <c r="E51" s="94">
        <v>44995</v>
      </c>
      <c r="F51" s="91" t="s">
        <v>230</v>
      </c>
      <c r="G51" s="91" t="s">
        <v>197</v>
      </c>
      <c r="H51" s="91">
        <v>44300</v>
      </c>
      <c r="I51" s="91">
        <v>40000</v>
      </c>
      <c r="J51" s="91">
        <v>75</v>
      </c>
      <c r="K51" s="91">
        <v>40</v>
      </c>
      <c r="L51" s="91" t="s">
        <v>198</v>
      </c>
      <c r="M51" s="91">
        <v>0.4</v>
      </c>
      <c r="N51" s="91">
        <v>10</v>
      </c>
      <c r="O51" s="91">
        <v>0.1</v>
      </c>
      <c r="P51" s="91">
        <v>1.8800000000000001E-2</v>
      </c>
      <c r="Q51" s="95">
        <v>0.4</v>
      </c>
      <c r="R51" s="92">
        <v>0.04</v>
      </c>
      <c r="S51" s="91" t="s">
        <v>256</v>
      </c>
      <c r="T51" s="91" t="s">
        <v>173</v>
      </c>
    </row>
    <row r="52" spans="1:20" ht="22.5" hidden="1" x14ac:dyDescent="0.25">
      <c r="A52" s="91">
        <v>119</v>
      </c>
      <c r="B52" s="93" t="s">
        <v>173</v>
      </c>
      <c r="C52" s="91">
        <v>2023</v>
      </c>
      <c r="D52" s="91" t="s">
        <v>196</v>
      </c>
      <c r="E52" s="94">
        <v>44995</v>
      </c>
      <c r="F52" s="91" t="s">
        <v>230</v>
      </c>
      <c r="G52" s="91" t="s">
        <v>197</v>
      </c>
      <c r="H52" s="91">
        <v>44300</v>
      </c>
      <c r="I52" s="91">
        <v>40000</v>
      </c>
      <c r="J52" s="91">
        <v>75</v>
      </c>
      <c r="K52" s="91">
        <v>40</v>
      </c>
      <c r="L52" s="91" t="s">
        <v>201</v>
      </c>
      <c r="M52" s="91">
        <v>16.100000000000001</v>
      </c>
      <c r="N52" s="91">
        <v>50</v>
      </c>
      <c r="O52" s="91">
        <v>1.6</v>
      </c>
      <c r="P52" s="91">
        <v>0.69730000000000003</v>
      </c>
      <c r="Q52" s="95">
        <v>2</v>
      </c>
      <c r="R52" s="92">
        <v>0.32200000000000001</v>
      </c>
      <c r="S52" s="91" t="s">
        <v>256</v>
      </c>
      <c r="T52" s="91" t="s">
        <v>173</v>
      </c>
    </row>
    <row r="53" spans="1:20" ht="22.5" hidden="1" x14ac:dyDescent="0.25">
      <c r="A53" s="91">
        <v>38</v>
      </c>
      <c r="B53" s="93" t="s">
        <v>164</v>
      </c>
      <c r="C53" s="91">
        <v>2023</v>
      </c>
      <c r="D53" s="91" t="s">
        <v>196</v>
      </c>
      <c r="E53" s="94">
        <v>45175</v>
      </c>
      <c r="F53" s="91" t="s">
        <v>231</v>
      </c>
      <c r="G53" s="91" t="s">
        <v>197</v>
      </c>
      <c r="H53" s="91">
        <v>3600</v>
      </c>
      <c r="I53" s="91">
        <v>5000</v>
      </c>
      <c r="J53" s="91">
        <v>27</v>
      </c>
      <c r="K53" s="91">
        <v>40</v>
      </c>
      <c r="L53" s="91" t="s">
        <v>198</v>
      </c>
      <c r="M53" s="91">
        <v>0.2</v>
      </c>
      <c r="N53" s="91">
        <v>10</v>
      </c>
      <c r="O53" s="91">
        <v>0.1</v>
      </c>
      <c r="P53" s="91">
        <v>8.0000000000000004E-4</v>
      </c>
      <c r="Q53" s="95">
        <v>0.05</v>
      </c>
      <c r="R53" s="92">
        <v>0.02</v>
      </c>
      <c r="S53" s="91" t="s">
        <v>256</v>
      </c>
      <c r="T53" s="91" t="s">
        <v>164</v>
      </c>
    </row>
    <row r="54" spans="1:20" ht="22.5" hidden="1" x14ac:dyDescent="0.25">
      <c r="A54" s="91">
        <v>121</v>
      </c>
      <c r="B54" s="93" t="s">
        <v>174</v>
      </c>
      <c r="C54" s="91">
        <v>2023</v>
      </c>
      <c r="D54" s="91" t="s">
        <v>196</v>
      </c>
      <c r="E54" s="94">
        <v>45175</v>
      </c>
      <c r="F54" s="91" t="s">
        <v>232</v>
      </c>
      <c r="G54" s="91" t="s">
        <v>197</v>
      </c>
      <c r="H54" s="91">
        <v>1100</v>
      </c>
      <c r="I54" s="91">
        <v>1700</v>
      </c>
      <c r="J54" s="91">
        <v>30</v>
      </c>
      <c r="K54" s="91" t="s">
        <v>233</v>
      </c>
      <c r="L54" s="91" t="s">
        <v>198</v>
      </c>
      <c r="M54" s="91">
        <v>0.2</v>
      </c>
      <c r="N54" s="91">
        <v>10</v>
      </c>
      <c r="O54" s="91">
        <v>0.1</v>
      </c>
      <c r="P54" s="91">
        <v>2.9999999999999997E-4</v>
      </c>
      <c r="Q54" s="95">
        <v>1.7000000000000001E-2</v>
      </c>
      <c r="R54" s="92">
        <v>0.02</v>
      </c>
      <c r="S54" s="91" t="s">
        <v>256</v>
      </c>
      <c r="T54" s="91" t="s">
        <v>174</v>
      </c>
    </row>
    <row r="55" spans="1:20" ht="22.5" hidden="1" x14ac:dyDescent="0.25">
      <c r="A55" s="91" t="s">
        <v>158</v>
      </c>
      <c r="B55" s="93" t="s">
        <v>176</v>
      </c>
      <c r="C55" s="91">
        <v>2023</v>
      </c>
      <c r="D55" s="91" t="s">
        <v>196</v>
      </c>
      <c r="E55" s="94">
        <v>45175</v>
      </c>
      <c r="F55" s="91" t="s">
        <v>234</v>
      </c>
      <c r="G55" s="91" t="s">
        <v>197</v>
      </c>
      <c r="H55" s="91">
        <v>19000</v>
      </c>
      <c r="I55" s="91">
        <v>15000</v>
      </c>
      <c r="J55" s="91">
        <v>40</v>
      </c>
      <c r="K55" s="91">
        <v>40</v>
      </c>
      <c r="L55" s="91" t="s">
        <v>198</v>
      </c>
      <c r="M55" s="91">
        <v>3.4</v>
      </c>
      <c r="N55" s="91">
        <v>10</v>
      </c>
      <c r="O55" s="91">
        <v>1.8</v>
      </c>
      <c r="P55" s="91">
        <v>6.5199999999999994E-2</v>
      </c>
      <c r="Q55" s="95">
        <v>0.10009999999999999</v>
      </c>
      <c r="R55" s="92">
        <v>0.33999999999999997</v>
      </c>
      <c r="S55" s="91" t="s">
        <v>256</v>
      </c>
      <c r="T55" s="91" t="s">
        <v>176</v>
      </c>
    </row>
    <row r="56" spans="1:20" ht="22.5" hidden="1" x14ac:dyDescent="0.25">
      <c r="A56" s="91" t="s">
        <v>158</v>
      </c>
      <c r="B56" s="93" t="s">
        <v>176</v>
      </c>
      <c r="C56" s="91">
        <v>2023</v>
      </c>
      <c r="D56" s="91" t="s">
        <v>196</v>
      </c>
      <c r="E56" s="94">
        <v>45175</v>
      </c>
      <c r="F56" s="91" t="s">
        <v>234</v>
      </c>
      <c r="G56" s="91" t="s">
        <v>197</v>
      </c>
      <c r="H56" s="91">
        <v>19000</v>
      </c>
      <c r="I56" s="91">
        <v>15000</v>
      </c>
      <c r="J56" s="91">
        <v>40</v>
      </c>
      <c r="K56" s="91">
        <v>40</v>
      </c>
      <c r="L56" s="91" t="s">
        <v>204</v>
      </c>
      <c r="M56" s="91">
        <v>0.8</v>
      </c>
      <c r="N56" s="91">
        <v>10</v>
      </c>
      <c r="O56" s="91">
        <v>0.1</v>
      </c>
      <c r="P56" s="91">
        <v>1.46E-2</v>
      </c>
      <c r="Q56" s="95">
        <v>1.5699999999999999E-2</v>
      </c>
      <c r="R56" s="92">
        <v>0.08</v>
      </c>
      <c r="S56" s="91" t="s">
        <v>256</v>
      </c>
      <c r="T56" s="91" t="s">
        <v>176</v>
      </c>
    </row>
    <row r="57" spans="1:20" ht="22.5" hidden="1" x14ac:dyDescent="0.25">
      <c r="A57" s="91" t="s">
        <v>158</v>
      </c>
      <c r="B57" s="93" t="s">
        <v>176</v>
      </c>
      <c r="C57" s="91">
        <v>2023</v>
      </c>
      <c r="D57" s="91" t="s">
        <v>196</v>
      </c>
      <c r="E57" s="94">
        <v>45175</v>
      </c>
      <c r="F57" s="91" t="s">
        <v>234</v>
      </c>
      <c r="G57" s="91" t="s">
        <v>197</v>
      </c>
      <c r="H57" s="91">
        <v>19000</v>
      </c>
      <c r="I57" s="91">
        <v>15000</v>
      </c>
      <c r="J57" s="91">
        <v>40</v>
      </c>
      <c r="K57" s="91">
        <v>40</v>
      </c>
      <c r="L57" s="91" t="s">
        <v>201</v>
      </c>
      <c r="M57" s="91">
        <v>2.2999999999999998</v>
      </c>
      <c r="N57" s="91">
        <v>20</v>
      </c>
      <c r="O57" s="91">
        <v>0.1</v>
      </c>
      <c r="P57" s="91">
        <v>4.3700000000000003E-2</v>
      </c>
      <c r="Q57" s="95">
        <v>0.3</v>
      </c>
      <c r="R57" s="92">
        <v>0.11499999999999999</v>
      </c>
      <c r="S57" s="91" t="s">
        <v>256</v>
      </c>
      <c r="T57" s="91" t="s">
        <v>176</v>
      </c>
    </row>
    <row r="58" spans="1:20" ht="22.5" hidden="1" x14ac:dyDescent="0.25">
      <c r="A58" s="91" t="s">
        <v>158</v>
      </c>
      <c r="B58" s="93" t="s">
        <v>176</v>
      </c>
      <c r="C58" s="91">
        <v>2023</v>
      </c>
      <c r="D58" s="91" t="s">
        <v>196</v>
      </c>
      <c r="E58" s="94">
        <v>45175</v>
      </c>
      <c r="F58" s="91" t="s">
        <v>234</v>
      </c>
      <c r="G58" s="91" t="s">
        <v>197</v>
      </c>
      <c r="H58" s="91">
        <v>19000</v>
      </c>
      <c r="I58" s="91">
        <v>15000</v>
      </c>
      <c r="J58" s="91">
        <v>40</v>
      </c>
      <c r="K58" s="91">
        <v>40</v>
      </c>
      <c r="L58" s="91" t="s">
        <v>22</v>
      </c>
      <c r="M58" s="91" t="s">
        <v>235</v>
      </c>
      <c r="N58" s="96">
        <v>2</v>
      </c>
      <c r="O58" s="91">
        <v>0</v>
      </c>
      <c r="P58" s="91" t="s">
        <v>236</v>
      </c>
      <c r="Q58" s="97" t="s">
        <v>131</v>
      </c>
      <c r="R58" s="92">
        <v>0.5</v>
      </c>
      <c r="S58" s="91" t="s">
        <v>256</v>
      </c>
      <c r="T58" s="91" t="s">
        <v>176</v>
      </c>
    </row>
    <row r="59" spans="1:20" ht="22.5" hidden="1" x14ac:dyDescent="0.25">
      <c r="A59" s="91">
        <v>42</v>
      </c>
      <c r="B59" s="93" t="s">
        <v>165</v>
      </c>
      <c r="C59" s="91">
        <v>2023</v>
      </c>
      <c r="D59" s="91" t="s">
        <v>196</v>
      </c>
      <c r="E59" s="94">
        <v>45314</v>
      </c>
      <c r="F59" s="91" t="s">
        <v>237</v>
      </c>
      <c r="G59" s="91" t="s">
        <v>197</v>
      </c>
      <c r="H59" s="91">
        <v>3000</v>
      </c>
      <c r="I59" s="91">
        <v>6000</v>
      </c>
      <c r="J59" s="91">
        <v>24</v>
      </c>
      <c r="K59" s="91">
        <v>20</v>
      </c>
      <c r="L59" s="91" t="s">
        <v>201</v>
      </c>
      <c r="M59" s="91">
        <v>2.1</v>
      </c>
      <c r="N59" s="91">
        <v>20</v>
      </c>
      <c r="O59" s="91">
        <v>0.3</v>
      </c>
      <c r="P59" s="91">
        <v>6.3E-3</v>
      </c>
      <c r="Q59" s="95">
        <v>0.12</v>
      </c>
      <c r="R59" s="92">
        <v>0.10500000000000001</v>
      </c>
      <c r="S59" s="91" t="s">
        <v>256</v>
      </c>
      <c r="T59" s="91" t="s">
        <v>165</v>
      </c>
    </row>
    <row r="60" spans="1:20" ht="22.5" hidden="1" x14ac:dyDescent="0.25">
      <c r="A60" s="91">
        <v>42</v>
      </c>
      <c r="B60" s="93" t="s">
        <v>165</v>
      </c>
      <c r="C60" s="91">
        <v>2023</v>
      </c>
      <c r="D60" s="91" t="s">
        <v>196</v>
      </c>
      <c r="E60" s="94">
        <v>45314</v>
      </c>
      <c r="F60" s="91" t="s">
        <v>237</v>
      </c>
      <c r="G60" s="91" t="s">
        <v>197</v>
      </c>
      <c r="H60" s="91">
        <v>3000</v>
      </c>
      <c r="I60" s="91">
        <v>6000</v>
      </c>
      <c r="J60" s="91">
        <v>24</v>
      </c>
      <c r="K60" s="91">
        <v>20</v>
      </c>
      <c r="L60" s="91" t="s">
        <v>203</v>
      </c>
      <c r="M60" s="91">
        <v>1.4</v>
      </c>
      <c r="N60" s="91">
        <v>5</v>
      </c>
      <c r="O60" s="91">
        <v>0.8</v>
      </c>
      <c r="P60" s="91">
        <v>4.1000000000000003E-3</v>
      </c>
      <c r="Q60" s="95">
        <v>0.03</v>
      </c>
      <c r="R60" s="92">
        <v>0.27999999999999997</v>
      </c>
      <c r="S60" s="91" t="s">
        <v>256</v>
      </c>
      <c r="T60" s="91" t="s">
        <v>165</v>
      </c>
    </row>
    <row r="61" spans="1:20" ht="22.5" hidden="1" x14ac:dyDescent="0.25">
      <c r="A61" s="91">
        <v>114</v>
      </c>
      <c r="B61" s="93" t="s">
        <v>167</v>
      </c>
      <c r="C61" s="91">
        <v>2023</v>
      </c>
      <c r="D61" s="91" t="s">
        <v>196</v>
      </c>
      <c r="E61" s="94">
        <v>45314</v>
      </c>
      <c r="F61" s="91" t="s">
        <v>238</v>
      </c>
      <c r="G61" s="91" t="s">
        <v>197</v>
      </c>
      <c r="H61" s="91">
        <v>10900</v>
      </c>
      <c r="I61" s="91">
        <v>20000</v>
      </c>
      <c r="J61" s="91">
        <v>24</v>
      </c>
      <c r="K61" s="91" t="s">
        <v>199</v>
      </c>
      <c r="L61" s="91" t="s">
        <v>198</v>
      </c>
      <c r="M61" s="91" t="s">
        <v>205</v>
      </c>
      <c r="N61" s="91">
        <v>10</v>
      </c>
      <c r="O61" s="91">
        <v>0</v>
      </c>
      <c r="P61" s="91" t="s">
        <v>228</v>
      </c>
      <c r="Q61" s="95">
        <v>0.2</v>
      </c>
      <c r="R61" s="92">
        <v>0.02</v>
      </c>
      <c r="S61" s="91" t="s">
        <v>256</v>
      </c>
      <c r="T61" s="91" t="s">
        <v>167</v>
      </c>
    </row>
    <row r="62" spans="1:20" ht="22.5" hidden="1" x14ac:dyDescent="0.25">
      <c r="A62" s="91">
        <v>119</v>
      </c>
      <c r="B62" s="93" t="s">
        <v>173</v>
      </c>
      <c r="C62" s="91">
        <v>2024</v>
      </c>
      <c r="D62" s="91" t="s">
        <v>196</v>
      </c>
      <c r="E62" s="94">
        <v>45351</v>
      </c>
      <c r="F62" s="91" t="s">
        <v>239</v>
      </c>
      <c r="G62" s="91" t="s">
        <v>197</v>
      </c>
      <c r="H62" s="91">
        <v>44000</v>
      </c>
      <c r="I62" s="91">
        <v>47000</v>
      </c>
      <c r="J62" s="91">
        <v>75</v>
      </c>
      <c r="K62" s="91">
        <v>40</v>
      </c>
      <c r="L62" s="91" t="s">
        <v>198</v>
      </c>
      <c r="M62" s="91">
        <v>0.6</v>
      </c>
      <c r="N62" s="91">
        <v>10</v>
      </c>
      <c r="O62" s="91">
        <v>0.1</v>
      </c>
      <c r="P62" s="91">
        <v>2.4899999999999999E-2</v>
      </c>
      <c r="Q62" s="95">
        <v>0.47</v>
      </c>
      <c r="R62" s="92">
        <v>0.06</v>
      </c>
      <c r="S62" s="91" t="s">
        <v>256</v>
      </c>
      <c r="T62" s="91" t="s">
        <v>173</v>
      </c>
    </row>
    <row r="63" spans="1:20" ht="22.5" hidden="1" x14ac:dyDescent="0.25">
      <c r="A63" s="91">
        <v>119</v>
      </c>
      <c r="B63" s="93" t="s">
        <v>173</v>
      </c>
      <c r="C63" s="91">
        <v>2024</v>
      </c>
      <c r="D63" s="91" t="s">
        <v>196</v>
      </c>
      <c r="E63" s="94">
        <v>45351</v>
      </c>
      <c r="F63" s="91" t="s">
        <v>239</v>
      </c>
      <c r="G63" s="91" t="s">
        <v>197</v>
      </c>
      <c r="H63" s="91">
        <v>44000</v>
      </c>
      <c r="I63" s="91">
        <v>47000</v>
      </c>
      <c r="J63" s="91">
        <v>75</v>
      </c>
      <c r="K63" s="91">
        <v>40</v>
      </c>
      <c r="L63" s="91" t="s">
        <v>201</v>
      </c>
      <c r="M63" s="91">
        <v>3</v>
      </c>
      <c r="N63" s="91">
        <v>50</v>
      </c>
      <c r="O63" s="91">
        <v>1.4</v>
      </c>
      <c r="P63" s="91">
        <v>0.1305</v>
      </c>
      <c r="Q63" s="95">
        <v>2.35</v>
      </c>
      <c r="R63" s="92">
        <v>0.06</v>
      </c>
      <c r="S63" s="91" t="s">
        <v>256</v>
      </c>
      <c r="T63" s="91" t="s">
        <v>173</v>
      </c>
    </row>
    <row r="64" spans="1:20" hidden="1" x14ac:dyDescent="0.25">
      <c r="A64" s="91" t="s">
        <v>200</v>
      </c>
      <c r="B64" s="93" t="s">
        <v>260</v>
      </c>
      <c r="C64" s="91">
        <v>2024</v>
      </c>
      <c r="D64" s="91" t="s">
        <v>196</v>
      </c>
      <c r="E64" s="94">
        <v>45351</v>
      </c>
      <c r="F64" s="91" t="s">
        <v>240</v>
      </c>
      <c r="G64" s="91" t="s">
        <v>197</v>
      </c>
      <c r="H64" s="91">
        <v>28300</v>
      </c>
      <c r="I64" s="91">
        <v>40000</v>
      </c>
      <c r="J64" s="91">
        <v>87</v>
      </c>
      <c r="K64" s="91">
        <v>100</v>
      </c>
      <c r="L64" s="91" t="s">
        <v>201</v>
      </c>
      <c r="M64" s="91">
        <v>3.8</v>
      </c>
      <c r="N64" s="91">
        <v>20</v>
      </c>
      <c r="O64" s="91">
        <v>4.5</v>
      </c>
      <c r="P64" s="91">
        <v>0.1071</v>
      </c>
      <c r="Q64" s="95">
        <v>0.8</v>
      </c>
      <c r="R64" s="92">
        <v>0.19</v>
      </c>
      <c r="S64" s="91" t="s">
        <v>256</v>
      </c>
      <c r="T64" s="91" t="e">
        <v>#N/A</v>
      </c>
    </row>
    <row r="65" spans="1:20" ht="22.5" hidden="1" x14ac:dyDescent="0.25">
      <c r="A65" s="91">
        <v>5</v>
      </c>
      <c r="B65" s="93" t="s">
        <v>160</v>
      </c>
      <c r="C65" s="91">
        <v>2024</v>
      </c>
      <c r="D65" s="91" t="s">
        <v>196</v>
      </c>
      <c r="E65" s="94">
        <v>45363</v>
      </c>
      <c r="F65" s="91" t="s">
        <v>241</v>
      </c>
      <c r="G65" s="91" t="s">
        <v>197</v>
      </c>
      <c r="H65" s="91">
        <v>2900</v>
      </c>
      <c r="I65" s="91">
        <v>8000</v>
      </c>
      <c r="J65" s="91">
        <v>27</v>
      </c>
      <c r="K65" s="91">
        <v>35</v>
      </c>
      <c r="L65" s="91" t="s">
        <v>201</v>
      </c>
      <c r="M65" s="91">
        <v>5.4</v>
      </c>
      <c r="N65" s="91">
        <v>20</v>
      </c>
      <c r="O65" s="91">
        <v>6.1</v>
      </c>
      <c r="P65" s="91">
        <v>1.5599999999999999E-2</v>
      </c>
      <c r="Q65" s="95">
        <v>0.16</v>
      </c>
      <c r="R65" s="92">
        <v>0.27</v>
      </c>
      <c r="S65" s="91" t="s">
        <v>256</v>
      </c>
      <c r="T65" s="91" t="s">
        <v>160</v>
      </c>
    </row>
    <row r="66" spans="1:20" ht="22.5" hidden="1" x14ac:dyDescent="0.25">
      <c r="A66" s="91">
        <v>5</v>
      </c>
      <c r="B66" s="93" t="s">
        <v>160</v>
      </c>
      <c r="C66" s="91">
        <v>2024</v>
      </c>
      <c r="D66" s="91" t="s">
        <v>196</v>
      </c>
      <c r="E66" s="94">
        <v>45363</v>
      </c>
      <c r="F66" s="91" t="s">
        <v>241</v>
      </c>
      <c r="G66" s="91" t="s">
        <v>197</v>
      </c>
      <c r="H66" s="91">
        <v>2900</v>
      </c>
      <c r="I66" s="91">
        <v>8000</v>
      </c>
      <c r="J66" s="91">
        <v>27</v>
      </c>
      <c r="K66" s="91">
        <v>35</v>
      </c>
      <c r="L66" s="91" t="s">
        <v>203</v>
      </c>
      <c r="M66" s="91">
        <v>1</v>
      </c>
      <c r="N66" s="91">
        <v>5</v>
      </c>
      <c r="O66" s="91">
        <v>0.4</v>
      </c>
      <c r="P66" s="91">
        <v>2.8999999999999998E-3</v>
      </c>
      <c r="Q66" s="95">
        <v>0.04</v>
      </c>
      <c r="R66" s="92">
        <v>0.2</v>
      </c>
      <c r="S66" s="91" t="s">
        <v>256</v>
      </c>
      <c r="T66" s="91" t="s">
        <v>160</v>
      </c>
    </row>
    <row r="67" spans="1:20" ht="22.5" hidden="1" x14ac:dyDescent="0.25">
      <c r="A67" s="91">
        <v>124</v>
      </c>
      <c r="B67" s="93" t="s">
        <v>175</v>
      </c>
      <c r="C67" s="91">
        <v>2024</v>
      </c>
      <c r="D67" s="91" t="s">
        <v>196</v>
      </c>
      <c r="E67" s="94">
        <v>45363</v>
      </c>
      <c r="F67" s="91" t="s">
        <v>242</v>
      </c>
      <c r="G67" s="91" t="s">
        <v>197</v>
      </c>
      <c r="H67" s="91">
        <v>5000</v>
      </c>
      <c r="I67" s="91">
        <v>7000</v>
      </c>
      <c r="J67" s="91">
        <v>20</v>
      </c>
      <c r="K67" s="91" t="s">
        <v>233</v>
      </c>
      <c r="L67" s="91" t="s">
        <v>210</v>
      </c>
      <c r="M67" s="91">
        <v>0.5</v>
      </c>
      <c r="N67" s="91">
        <v>10</v>
      </c>
      <c r="O67" s="91">
        <v>0.2</v>
      </c>
      <c r="P67" s="91">
        <v>2.5000000000000001E-3</v>
      </c>
      <c r="Q67" s="95">
        <v>7.0000000000000007E-2</v>
      </c>
      <c r="R67" s="92">
        <v>0.05</v>
      </c>
      <c r="S67" s="91" t="s">
        <v>256</v>
      </c>
      <c r="T67" s="91" t="s">
        <v>175</v>
      </c>
    </row>
    <row r="68" spans="1:20" ht="22.5" hidden="1" x14ac:dyDescent="0.25">
      <c r="A68" s="91">
        <v>126</v>
      </c>
      <c r="B68" s="93" t="s">
        <v>171</v>
      </c>
      <c r="C68" s="91">
        <v>2024</v>
      </c>
      <c r="D68" s="91" t="s">
        <v>196</v>
      </c>
      <c r="E68" s="94">
        <v>45363</v>
      </c>
      <c r="F68" s="91" t="s">
        <v>243</v>
      </c>
      <c r="G68" s="91" t="s">
        <v>197</v>
      </c>
      <c r="H68" s="91">
        <v>2900</v>
      </c>
      <c r="I68" s="91">
        <v>7500</v>
      </c>
      <c r="J68" s="91">
        <v>27</v>
      </c>
      <c r="K68" s="91">
        <v>20</v>
      </c>
      <c r="L68" s="91" t="s">
        <v>201</v>
      </c>
      <c r="M68" s="91">
        <v>1.9</v>
      </c>
      <c r="N68" s="91">
        <v>20</v>
      </c>
      <c r="O68" s="91">
        <v>0.3</v>
      </c>
      <c r="P68" s="91">
        <v>8.6999999999999994E-3</v>
      </c>
      <c r="Q68" s="95">
        <v>0.15</v>
      </c>
      <c r="R68" s="92">
        <v>9.5000000000000001E-2</v>
      </c>
      <c r="S68" s="91" t="s">
        <v>256</v>
      </c>
      <c r="T68" s="91" t="s">
        <v>171</v>
      </c>
    </row>
    <row r="69" spans="1:20" ht="22.5" hidden="1" x14ac:dyDescent="0.25">
      <c r="A69" s="91">
        <v>126</v>
      </c>
      <c r="B69" s="93" t="s">
        <v>171</v>
      </c>
      <c r="C69" s="91">
        <v>2024</v>
      </c>
      <c r="D69" s="91" t="s">
        <v>196</v>
      </c>
      <c r="E69" s="94">
        <v>45363</v>
      </c>
      <c r="F69" s="91" t="s">
        <v>243</v>
      </c>
      <c r="G69" s="91" t="s">
        <v>197</v>
      </c>
      <c r="H69" s="91">
        <v>2900</v>
      </c>
      <c r="I69" s="91">
        <v>7500</v>
      </c>
      <c r="J69" s="91">
        <v>27</v>
      </c>
      <c r="K69" s="91">
        <v>20</v>
      </c>
      <c r="L69" s="91" t="s">
        <v>203</v>
      </c>
      <c r="M69" s="91">
        <v>1.2</v>
      </c>
      <c r="N69" s="91">
        <v>5</v>
      </c>
      <c r="O69" s="91">
        <v>0.3</v>
      </c>
      <c r="P69" s="91">
        <v>5.4000000000000003E-3</v>
      </c>
      <c r="Q69" s="95">
        <v>3.6999999999999998E-2</v>
      </c>
      <c r="R69" s="92">
        <v>0.24</v>
      </c>
      <c r="S69" s="91" t="s">
        <v>256</v>
      </c>
      <c r="T69" s="91" t="s">
        <v>171</v>
      </c>
    </row>
    <row r="70" spans="1:20" hidden="1" x14ac:dyDescent="0.25">
      <c r="A70" s="91">
        <v>55</v>
      </c>
      <c r="B70" s="93" t="s">
        <v>166</v>
      </c>
      <c r="C70" s="91">
        <v>2024</v>
      </c>
      <c r="D70" s="91" t="s">
        <v>196</v>
      </c>
      <c r="E70" s="94">
        <v>45429</v>
      </c>
      <c r="F70" s="91" t="s">
        <v>244</v>
      </c>
      <c r="G70" s="91" t="s">
        <v>197</v>
      </c>
      <c r="H70" s="91">
        <v>1500</v>
      </c>
      <c r="I70" s="91">
        <v>1500</v>
      </c>
      <c r="J70" s="91">
        <v>39</v>
      </c>
      <c r="K70" s="91">
        <v>20</v>
      </c>
      <c r="L70" s="91" t="s">
        <v>201</v>
      </c>
      <c r="M70" s="91" t="s">
        <v>245</v>
      </c>
      <c r="N70" s="91">
        <v>20</v>
      </c>
      <c r="O70" s="91">
        <v>0</v>
      </c>
      <c r="P70" s="91" t="s">
        <v>246</v>
      </c>
      <c r="Q70" s="95">
        <v>0.03</v>
      </c>
      <c r="R70" s="92">
        <v>5.5000000000000007E-2</v>
      </c>
      <c r="S70" s="91" t="s">
        <v>256</v>
      </c>
      <c r="T70" s="91" t="s">
        <v>166</v>
      </c>
    </row>
    <row r="71" spans="1:20" hidden="1" x14ac:dyDescent="0.25">
      <c r="A71" s="91">
        <v>66</v>
      </c>
      <c r="B71" s="93" t="s">
        <v>169</v>
      </c>
      <c r="C71" s="91">
        <v>2024</v>
      </c>
      <c r="D71" s="91" t="s">
        <v>196</v>
      </c>
      <c r="E71" s="94">
        <v>45429</v>
      </c>
      <c r="F71" s="91" t="s">
        <v>247</v>
      </c>
      <c r="G71" s="91" t="s">
        <v>197</v>
      </c>
      <c r="H71" s="91">
        <v>2700</v>
      </c>
      <c r="I71" s="91">
        <v>6000</v>
      </c>
      <c r="J71" s="91">
        <v>146</v>
      </c>
      <c r="K71" s="91">
        <v>200</v>
      </c>
      <c r="L71" s="91" t="s">
        <v>248</v>
      </c>
      <c r="M71" s="91">
        <v>1</v>
      </c>
      <c r="N71" s="91">
        <v>100</v>
      </c>
      <c r="O71" s="91">
        <v>0</v>
      </c>
      <c r="P71" s="91">
        <v>2E-3</v>
      </c>
      <c r="Q71" s="95">
        <v>0.6</v>
      </c>
      <c r="R71" s="92">
        <v>0.01</v>
      </c>
      <c r="S71" s="91" t="s">
        <v>256</v>
      </c>
      <c r="T71" s="91" t="s">
        <v>169</v>
      </c>
    </row>
    <row r="72" spans="1:20" hidden="1" x14ac:dyDescent="0.25">
      <c r="A72" s="91">
        <v>66</v>
      </c>
      <c r="B72" s="93" t="s">
        <v>169</v>
      </c>
      <c r="C72" s="91">
        <v>2024</v>
      </c>
      <c r="D72" s="91" t="s">
        <v>196</v>
      </c>
      <c r="E72" s="94">
        <v>45429</v>
      </c>
      <c r="F72" s="91" t="s">
        <v>247</v>
      </c>
      <c r="G72" s="91" t="s">
        <v>197</v>
      </c>
      <c r="H72" s="91">
        <v>2700</v>
      </c>
      <c r="I72" s="91">
        <v>6000</v>
      </c>
      <c r="J72" s="91">
        <v>146</v>
      </c>
      <c r="K72" s="91">
        <v>200</v>
      </c>
      <c r="L72" s="91" t="s">
        <v>224</v>
      </c>
      <c r="M72" s="91">
        <v>140</v>
      </c>
      <c r="N72" s="91">
        <v>150</v>
      </c>
      <c r="O72" s="91">
        <v>3</v>
      </c>
      <c r="P72" s="91">
        <v>0.32300000000000001</v>
      </c>
      <c r="Q72" s="95">
        <v>0.9</v>
      </c>
      <c r="R72" s="92">
        <v>0.93333333333333335</v>
      </c>
      <c r="S72" s="91" t="s">
        <v>256</v>
      </c>
      <c r="T72" s="91" t="s">
        <v>169</v>
      </c>
    </row>
    <row r="73" spans="1:20" hidden="1" x14ac:dyDescent="0.25">
      <c r="A73" s="91">
        <v>64</v>
      </c>
      <c r="B73" s="93" t="s">
        <v>168</v>
      </c>
      <c r="C73" s="91">
        <v>2024</v>
      </c>
      <c r="D73" s="91" t="s">
        <v>196</v>
      </c>
      <c r="E73" s="94">
        <v>45429</v>
      </c>
      <c r="F73" s="91" t="s">
        <v>249</v>
      </c>
      <c r="G73" s="91" t="s">
        <v>197</v>
      </c>
      <c r="H73" s="91">
        <v>3100</v>
      </c>
      <c r="I73" s="91">
        <v>6000</v>
      </c>
      <c r="J73" s="91">
        <v>135</v>
      </c>
      <c r="K73" s="91">
        <v>200</v>
      </c>
      <c r="L73" s="91" t="s">
        <v>248</v>
      </c>
      <c r="M73" s="91">
        <v>1</v>
      </c>
      <c r="N73" s="91">
        <v>100</v>
      </c>
      <c r="O73" s="91">
        <v>0</v>
      </c>
      <c r="P73" s="91">
        <v>3.0000000000000001E-3</v>
      </c>
      <c r="Q73" s="95">
        <v>0.6</v>
      </c>
      <c r="R73" s="92">
        <v>0.01</v>
      </c>
      <c r="S73" s="91" t="s">
        <v>256</v>
      </c>
      <c r="T73" s="91" t="s">
        <v>168</v>
      </c>
    </row>
    <row r="74" spans="1:20" hidden="1" x14ac:dyDescent="0.25">
      <c r="A74" s="91">
        <v>64</v>
      </c>
      <c r="B74" s="93" t="s">
        <v>168</v>
      </c>
      <c r="C74" s="91">
        <v>2024</v>
      </c>
      <c r="D74" s="91" t="s">
        <v>196</v>
      </c>
      <c r="E74" s="94">
        <v>45429</v>
      </c>
      <c r="F74" s="91" t="s">
        <v>249</v>
      </c>
      <c r="G74" s="91" t="s">
        <v>197</v>
      </c>
      <c r="H74" s="91">
        <v>3100</v>
      </c>
      <c r="I74" s="91">
        <v>6000</v>
      </c>
      <c r="J74" s="91">
        <v>135</v>
      </c>
      <c r="K74" s="91">
        <v>200</v>
      </c>
      <c r="L74" s="91" t="s">
        <v>224</v>
      </c>
      <c r="M74" s="91">
        <v>127</v>
      </c>
      <c r="N74" s="91">
        <v>150</v>
      </c>
      <c r="O74" s="91">
        <v>0</v>
      </c>
      <c r="P74" s="91">
        <v>0.38100000000000001</v>
      </c>
      <c r="Q74" s="95">
        <v>0.9</v>
      </c>
      <c r="R74" s="92">
        <v>0.84666666666666668</v>
      </c>
      <c r="S74" s="91" t="s">
        <v>256</v>
      </c>
      <c r="T74" s="91" t="s">
        <v>168</v>
      </c>
    </row>
    <row r="75" spans="1:20" ht="22.5" hidden="1" x14ac:dyDescent="0.25">
      <c r="A75" s="91">
        <v>57</v>
      </c>
      <c r="B75" s="93" t="s">
        <v>167</v>
      </c>
      <c r="C75" s="91">
        <v>2024</v>
      </c>
      <c r="D75" s="91" t="s">
        <v>196</v>
      </c>
      <c r="E75" s="94">
        <v>45456</v>
      </c>
      <c r="F75" s="91" t="s">
        <v>250</v>
      </c>
      <c r="G75" s="91" t="s">
        <v>197</v>
      </c>
      <c r="H75" s="91">
        <v>5900</v>
      </c>
      <c r="I75" s="91">
        <v>16500</v>
      </c>
      <c r="J75" s="91">
        <v>30</v>
      </c>
      <c r="K75" s="91" t="s">
        <v>199</v>
      </c>
      <c r="L75" s="91" t="s">
        <v>210</v>
      </c>
      <c r="M75" s="91">
        <v>0.5</v>
      </c>
      <c r="N75" s="91">
        <v>10</v>
      </c>
      <c r="O75" s="91">
        <v>0.1</v>
      </c>
      <c r="P75" s="91">
        <v>2.8E-3</v>
      </c>
      <c r="Q75" s="95">
        <v>0.16500000000000001</v>
      </c>
      <c r="R75" s="92">
        <v>0.05</v>
      </c>
      <c r="S75" s="91" t="s">
        <v>256</v>
      </c>
      <c r="T75" s="91" t="s">
        <v>167</v>
      </c>
    </row>
    <row r="76" spans="1:20" ht="22.5" hidden="1" x14ac:dyDescent="0.25">
      <c r="A76" s="91">
        <v>125</v>
      </c>
      <c r="B76" s="93" t="s">
        <v>171</v>
      </c>
      <c r="C76" s="91">
        <v>2024</v>
      </c>
      <c r="D76" s="91" t="s">
        <v>196</v>
      </c>
      <c r="E76" s="94">
        <v>45565</v>
      </c>
      <c r="F76" s="91" t="s">
        <v>251</v>
      </c>
      <c r="G76" s="91" t="s">
        <v>197</v>
      </c>
      <c r="H76" s="91">
        <v>6900</v>
      </c>
      <c r="I76" s="91">
        <v>7500</v>
      </c>
      <c r="J76" s="91">
        <v>30</v>
      </c>
      <c r="K76" s="91">
        <v>20</v>
      </c>
      <c r="L76" s="91" t="s">
        <v>201</v>
      </c>
      <c r="M76" s="91">
        <v>1.8</v>
      </c>
      <c r="N76" s="91">
        <v>20</v>
      </c>
      <c r="O76" s="91">
        <v>0.1</v>
      </c>
      <c r="P76" s="91">
        <v>1.2200000000000001E-2</v>
      </c>
      <c r="Q76" s="95">
        <v>0.15</v>
      </c>
      <c r="R76" s="92">
        <v>0.09</v>
      </c>
      <c r="S76" s="91" t="s">
        <v>256</v>
      </c>
      <c r="T76" s="91" t="s">
        <v>171</v>
      </c>
    </row>
    <row r="77" spans="1:20" ht="22.5" hidden="1" x14ac:dyDescent="0.25">
      <c r="A77" s="91">
        <v>125</v>
      </c>
      <c r="B77" s="93" t="s">
        <v>171</v>
      </c>
      <c r="C77" s="91">
        <v>2024</v>
      </c>
      <c r="D77" s="91" t="s">
        <v>196</v>
      </c>
      <c r="E77" s="94">
        <v>45565</v>
      </c>
      <c r="F77" s="91" t="s">
        <v>251</v>
      </c>
      <c r="G77" s="91" t="s">
        <v>197</v>
      </c>
      <c r="H77" s="91">
        <v>6900</v>
      </c>
      <c r="I77" s="91">
        <v>7500</v>
      </c>
      <c r="J77" s="91">
        <v>30</v>
      </c>
      <c r="K77" s="91">
        <v>20</v>
      </c>
      <c r="L77" s="91" t="s">
        <v>203</v>
      </c>
      <c r="M77" s="91">
        <v>2.2000000000000002</v>
      </c>
      <c r="N77" s="91">
        <v>5</v>
      </c>
      <c r="O77" s="91">
        <v>0.6</v>
      </c>
      <c r="P77" s="91">
        <v>1.54E-2</v>
      </c>
      <c r="Q77" s="95">
        <v>3.6999999999999998E-2</v>
      </c>
      <c r="R77" s="92">
        <v>0.44000000000000006</v>
      </c>
      <c r="S77" s="91" t="s">
        <v>256</v>
      </c>
      <c r="T77" s="91" t="s">
        <v>171</v>
      </c>
    </row>
    <row r="78" spans="1:20" ht="22.5" hidden="1" x14ac:dyDescent="0.25">
      <c r="A78" s="91">
        <v>127</v>
      </c>
      <c r="B78" s="93" t="s">
        <v>171</v>
      </c>
      <c r="C78" s="91">
        <v>2024</v>
      </c>
      <c r="D78" s="91" t="s">
        <v>196</v>
      </c>
      <c r="E78" s="94">
        <v>45565</v>
      </c>
      <c r="F78" s="91" t="s">
        <v>252</v>
      </c>
      <c r="G78" s="91" t="s">
        <v>197</v>
      </c>
      <c r="H78" s="91">
        <v>5000</v>
      </c>
      <c r="I78" s="91">
        <v>7500</v>
      </c>
      <c r="J78" s="91">
        <v>41</v>
      </c>
      <c r="K78" s="91">
        <v>20</v>
      </c>
      <c r="L78" s="91" t="s">
        <v>201</v>
      </c>
      <c r="M78" s="91">
        <v>3.7</v>
      </c>
      <c r="N78" s="91">
        <v>20</v>
      </c>
      <c r="O78" s="91">
        <v>1.2</v>
      </c>
      <c r="P78" s="91">
        <v>1.83E-2</v>
      </c>
      <c r="Q78" s="95">
        <v>0.15</v>
      </c>
      <c r="R78" s="92">
        <v>0.185</v>
      </c>
      <c r="S78" s="91" t="s">
        <v>256</v>
      </c>
      <c r="T78" s="91" t="s">
        <v>171</v>
      </c>
    </row>
    <row r="79" spans="1:20" ht="22.5" hidden="1" x14ac:dyDescent="0.25">
      <c r="A79" s="91">
        <v>127</v>
      </c>
      <c r="B79" s="93" t="s">
        <v>171</v>
      </c>
      <c r="C79" s="91">
        <v>2024</v>
      </c>
      <c r="D79" s="91" t="s">
        <v>196</v>
      </c>
      <c r="E79" s="94">
        <v>45565</v>
      </c>
      <c r="F79" s="91" t="s">
        <v>252</v>
      </c>
      <c r="G79" s="91" t="s">
        <v>197</v>
      </c>
      <c r="H79" s="91">
        <v>5000</v>
      </c>
      <c r="I79" s="91">
        <v>7500</v>
      </c>
      <c r="J79" s="91">
        <v>41</v>
      </c>
      <c r="K79" s="91">
        <v>20</v>
      </c>
      <c r="L79" s="91" t="s">
        <v>203</v>
      </c>
      <c r="M79" s="91">
        <v>2.1</v>
      </c>
      <c r="N79" s="91">
        <v>5</v>
      </c>
      <c r="O79" s="91">
        <v>1.1000000000000001</v>
      </c>
      <c r="P79" s="91">
        <v>1.03E-2</v>
      </c>
      <c r="Q79" s="95">
        <v>3.6999999999999998E-2</v>
      </c>
      <c r="R79" s="92">
        <v>0.42000000000000004</v>
      </c>
      <c r="S79" s="91" t="s">
        <v>256</v>
      </c>
      <c r="T79" s="91" t="s">
        <v>171</v>
      </c>
    </row>
    <row r="80" spans="1:20" ht="22.5" hidden="1" x14ac:dyDescent="0.25">
      <c r="A80" s="91" t="s">
        <v>158</v>
      </c>
      <c r="B80" s="93" t="s">
        <v>176</v>
      </c>
      <c r="C80" s="91">
        <v>2024</v>
      </c>
      <c r="D80" s="91" t="s">
        <v>196</v>
      </c>
      <c r="E80" s="94">
        <v>45615</v>
      </c>
      <c r="F80" s="91" t="s">
        <v>253</v>
      </c>
      <c r="G80" s="91" t="s">
        <v>197</v>
      </c>
      <c r="H80" s="91">
        <v>11800</v>
      </c>
      <c r="I80" s="91">
        <v>15000</v>
      </c>
      <c r="J80" s="91">
        <v>34</v>
      </c>
      <c r="K80" s="91">
        <v>40</v>
      </c>
      <c r="L80" s="91" t="s">
        <v>198</v>
      </c>
      <c r="M80" s="91">
        <v>3.3</v>
      </c>
      <c r="N80" s="91">
        <v>10</v>
      </c>
      <c r="O80" s="91">
        <v>1.2</v>
      </c>
      <c r="P80" s="91">
        <v>3.8899999999999997E-2</v>
      </c>
      <c r="Q80" s="95">
        <v>0.15</v>
      </c>
      <c r="R80" s="92">
        <v>0.32999999999999996</v>
      </c>
      <c r="S80" s="91" t="s">
        <v>256</v>
      </c>
      <c r="T80" s="91" t="s">
        <v>176</v>
      </c>
    </row>
    <row r="81" spans="1:20" ht="22.5" hidden="1" x14ac:dyDescent="0.25">
      <c r="A81" s="91" t="s">
        <v>158</v>
      </c>
      <c r="B81" s="93" t="s">
        <v>176</v>
      </c>
      <c r="C81" s="91">
        <v>2024</v>
      </c>
      <c r="D81" s="91" t="s">
        <v>196</v>
      </c>
      <c r="E81" s="94">
        <v>45615</v>
      </c>
      <c r="F81" s="91" t="s">
        <v>253</v>
      </c>
      <c r="G81" s="91" t="s">
        <v>197</v>
      </c>
      <c r="H81" s="91">
        <v>11800</v>
      </c>
      <c r="I81" s="91">
        <v>15000</v>
      </c>
      <c r="J81" s="91">
        <v>34</v>
      </c>
      <c r="K81" s="91">
        <v>40</v>
      </c>
      <c r="L81" s="91" t="s">
        <v>201</v>
      </c>
      <c r="M81" s="91">
        <v>16.7</v>
      </c>
      <c r="N81" s="91">
        <v>20</v>
      </c>
      <c r="O81" s="91">
        <v>1.3</v>
      </c>
      <c r="P81" s="91">
        <v>0.19750000000000001</v>
      </c>
      <c r="Q81" s="95">
        <v>0.3</v>
      </c>
      <c r="R81" s="92">
        <v>0.83499999999999996</v>
      </c>
      <c r="S81" s="91" t="s">
        <v>256</v>
      </c>
      <c r="T81" s="91" t="s">
        <v>176</v>
      </c>
    </row>
    <row r="82" spans="1:20" ht="22.5" hidden="1" x14ac:dyDescent="0.25">
      <c r="A82" s="91" t="s">
        <v>159</v>
      </c>
      <c r="B82" s="93" t="s">
        <v>177</v>
      </c>
      <c r="C82" s="91">
        <v>2024</v>
      </c>
      <c r="D82" s="91" t="s">
        <v>196</v>
      </c>
      <c r="E82" s="94">
        <v>45997</v>
      </c>
      <c r="F82" s="91" t="s">
        <v>254</v>
      </c>
      <c r="G82" s="91" t="s">
        <v>197</v>
      </c>
      <c r="H82" s="91">
        <v>9900</v>
      </c>
      <c r="I82" s="91">
        <v>15000</v>
      </c>
      <c r="J82" s="91">
        <v>31</v>
      </c>
      <c r="K82" s="91">
        <v>40</v>
      </c>
      <c r="L82" s="91" t="s">
        <v>201</v>
      </c>
      <c r="M82" s="91">
        <v>32.799999999999997</v>
      </c>
      <c r="N82" s="91">
        <v>20</v>
      </c>
      <c r="O82" s="91">
        <v>3.8</v>
      </c>
      <c r="P82" s="91">
        <v>0.32440000000000002</v>
      </c>
      <c r="Q82" s="95">
        <v>0.3</v>
      </c>
      <c r="R82" s="92">
        <v>1.64</v>
      </c>
      <c r="S82" s="91" t="s">
        <v>256</v>
      </c>
      <c r="T82" s="91" t="s">
        <v>177</v>
      </c>
    </row>
    <row r="83" spans="1:20" x14ac:dyDescent="0.25">
      <c r="A83" s="181">
        <v>98</v>
      </c>
      <c r="B83" s="182" t="s">
        <v>260</v>
      </c>
      <c r="C83" s="181">
        <v>2025</v>
      </c>
      <c r="D83" s="181" t="s">
        <v>196</v>
      </c>
      <c r="E83" s="183">
        <v>45716</v>
      </c>
      <c r="F83" s="181" t="s">
        <v>459</v>
      </c>
      <c r="G83" s="181" t="s">
        <v>197</v>
      </c>
      <c r="H83" s="181">
        <v>24000</v>
      </c>
      <c r="I83" s="181">
        <v>40000</v>
      </c>
      <c r="J83" s="181">
        <v>96</v>
      </c>
      <c r="K83" s="181">
        <v>100</v>
      </c>
      <c r="L83" s="181" t="s">
        <v>201</v>
      </c>
      <c r="M83" s="181">
        <v>1.7</v>
      </c>
      <c r="N83" s="181">
        <v>20</v>
      </c>
      <c r="O83" s="181">
        <v>1</v>
      </c>
      <c r="P83" s="181">
        <v>3.9600000000000003E-2</v>
      </c>
      <c r="Q83" s="184">
        <v>0.8</v>
      </c>
      <c r="R83" s="185">
        <v>8.4999999999999992E-2</v>
      </c>
      <c r="S83" s="181" t="s">
        <v>256</v>
      </c>
      <c r="T83" s="181" t="e">
        <v>#N/A</v>
      </c>
    </row>
    <row r="84" spans="1:20" ht="22.5" x14ac:dyDescent="0.25">
      <c r="A84" s="181">
        <v>119</v>
      </c>
      <c r="B84" s="182" t="s">
        <v>173</v>
      </c>
      <c r="C84" s="181">
        <v>2025</v>
      </c>
      <c r="D84" s="181" t="s">
        <v>196</v>
      </c>
      <c r="E84" s="183">
        <v>45716</v>
      </c>
      <c r="F84" s="181" t="s">
        <v>460</v>
      </c>
      <c r="G84" s="181" t="s">
        <v>197</v>
      </c>
      <c r="H84" s="181">
        <v>19300</v>
      </c>
      <c r="I84" s="181">
        <v>47000</v>
      </c>
      <c r="J84" s="181">
        <v>68</v>
      </c>
      <c r="K84" s="181">
        <v>40</v>
      </c>
      <c r="L84" s="181" t="s">
        <v>198</v>
      </c>
      <c r="M84" s="181">
        <v>0.6</v>
      </c>
      <c r="N84" s="181">
        <v>10</v>
      </c>
      <c r="O84" s="181">
        <v>0.5</v>
      </c>
      <c r="P84" s="181">
        <v>1.2200000000000001E-2</v>
      </c>
      <c r="Q84" s="184">
        <v>0.47</v>
      </c>
      <c r="R84" s="185">
        <v>0.06</v>
      </c>
      <c r="S84" s="181" t="s">
        <v>256</v>
      </c>
      <c r="T84" s="181" t="s">
        <v>173</v>
      </c>
    </row>
    <row r="85" spans="1:20" ht="22.5" x14ac:dyDescent="0.25">
      <c r="A85" s="181">
        <v>119</v>
      </c>
      <c r="B85" s="182" t="s">
        <v>173</v>
      </c>
      <c r="C85" s="181">
        <v>2025</v>
      </c>
      <c r="D85" s="181" t="s">
        <v>196</v>
      </c>
      <c r="E85" s="183">
        <v>45716</v>
      </c>
      <c r="F85" s="181" t="s">
        <v>460</v>
      </c>
      <c r="G85" s="181" t="s">
        <v>197</v>
      </c>
      <c r="H85" s="181">
        <v>19300</v>
      </c>
      <c r="I85" s="181">
        <v>47000</v>
      </c>
      <c r="J85" s="181">
        <v>68</v>
      </c>
      <c r="K85" s="181">
        <v>40</v>
      </c>
      <c r="L85" s="181" t="s">
        <v>201</v>
      </c>
      <c r="M85" s="181">
        <v>23.9</v>
      </c>
      <c r="N85" s="181">
        <v>50</v>
      </c>
      <c r="O85" s="181">
        <v>18.399999999999999</v>
      </c>
      <c r="P85" s="181">
        <v>0.46189999999999998</v>
      </c>
      <c r="Q85" s="184">
        <v>2.35</v>
      </c>
      <c r="R85" s="185">
        <v>0.47799999999999998</v>
      </c>
      <c r="S85" s="181" t="s">
        <v>256</v>
      </c>
      <c r="T85" s="181" t="s">
        <v>173</v>
      </c>
    </row>
    <row r="86" spans="1:20" x14ac:dyDescent="0.25">
      <c r="A86" s="181">
        <v>64</v>
      </c>
      <c r="B86" s="182" t="s">
        <v>168</v>
      </c>
      <c r="C86" s="181">
        <v>2025</v>
      </c>
      <c r="D86" s="181" t="s">
        <v>196</v>
      </c>
      <c r="E86" s="183">
        <v>45806</v>
      </c>
      <c r="F86" s="181" t="s">
        <v>461</v>
      </c>
      <c r="G86" s="181" t="s">
        <v>197</v>
      </c>
      <c r="H86" s="181">
        <v>2700</v>
      </c>
      <c r="I86" s="181">
        <v>6000</v>
      </c>
      <c r="J86" s="181">
        <v>136</v>
      </c>
      <c r="K86" s="181">
        <v>200</v>
      </c>
      <c r="L86" s="181" t="s">
        <v>248</v>
      </c>
      <c r="M86" s="181">
        <v>1</v>
      </c>
      <c r="N86" s="181">
        <v>100</v>
      </c>
      <c r="O86" s="181">
        <v>0</v>
      </c>
      <c r="P86" s="181">
        <v>2E-3</v>
      </c>
      <c r="Q86" s="184">
        <v>0.6</v>
      </c>
      <c r="R86" s="185">
        <v>0.01</v>
      </c>
      <c r="S86" s="181" t="s">
        <v>256</v>
      </c>
      <c r="T86" s="181" t="s">
        <v>168</v>
      </c>
    </row>
    <row r="87" spans="1:20" x14ac:dyDescent="0.25">
      <c r="A87" s="181">
        <v>64</v>
      </c>
      <c r="B87" s="182" t="s">
        <v>168</v>
      </c>
      <c r="C87" s="181">
        <v>2025</v>
      </c>
      <c r="D87" s="181" t="s">
        <v>196</v>
      </c>
      <c r="E87" s="183">
        <v>45806</v>
      </c>
      <c r="F87" s="181" t="s">
        <v>461</v>
      </c>
      <c r="G87" s="181" t="s">
        <v>197</v>
      </c>
      <c r="H87" s="181">
        <v>2700</v>
      </c>
      <c r="I87" s="181">
        <v>6000</v>
      </c>
      <c r="J87" s="181">
        <v>136</v>
      </c>
      <c r="K87" s="181">
        <v>200</v>
      </c>
      <c r="L87" s="181" t="s">
        <v>224</v>
      </c>
      <c r="M87" s="181">
        <v>141</v>
      </c>
      <c r="N87" s="181">
        <v>150</v>
      </c>
      <c r="O87" s="181">
        <v>2</v>
      </c>
      <c r="P87" s="181">
        <v>0.35299999999999998</v>
      </c>
      <c r="Q87" s="184">
        <v>0.9</v>
      </c>
      <c r="R87" s="185">
        <v>0.94</v>
      </c>
      <c r="S87" s="181" t="s">
        <v>256</v>
      </c>
      <c r="T87" s="181" t="s">
        <v>168</v>
      </c>
    </row>
    <row r="88" spans="1:20" x14ac:dyDescent="0.25">
      <c r="A88" s="181">
        <v>66</v>
      </c>
      <c r="B88" s="182" t="s">
        <v>169</v>
      </c>
      <c r="C88" s="181">
        <v>2025</v>
      </c>
      <c r="D88" s="181" t="s">
        <v>196</v>
      </c>
      <c r="E88" s="183">
        <v>45806</v>
      </c>
      <c r="F88" s="181" t="s">
        <v>462</v>
      </c>
      <c r="G88" s="181" t="s">
        <v>197</v>
      </c>
      <c r="H88" s="181">
        <v>2500</v>
      </c>
      <c r="I88" s="181">
        <v>6000</v>
      </c>
      <c r="J88" s="181">
        <v>160</v>
      </c>
      <c r="K88" s="181">
        <v>200</v>
      </c>
      <c r="L88" s="181" t="s">
        <v>248</v>
      </c>
      <c r="M88" s="181">
        <v>1</v>
      </c>
      <c r="N88" s="181">
        <v>100</v>
      </c>
      <c r="O88" s="181">
        <v>0</v>
      </c>
      <c r="P88" s="181">
        <v>2E-3</v>
      </c>
      <c r="Q88" s="184">
        <v>0.6</v>
      </c>
      <c r="R88" s="185">
        <v>0.01</v>
      </c>
      <c r="S88" s="181" t="s">
        <v>256</v>
      </c>
      <c r="T88" s="181" t="s">
        <v>169</v>
      </c>
    </row>
    <row r="89" spans="1:20" x14ac:dyDescent="0.25">
      <c r="A89" s="181">
        <v>66</v>
      </c>
      <c r="B89" s="182" t="s">
        <v>169</v>
      </c>
      <c r="C89" s="181">
        <v>2025</v>
      </c>
      <c r="D89" s="181" t="s">
        <v>196</v>
      </c>
      <c r="E89" s="183">
        <v>45806</v>
      </c>
      <c r="F89" s="181" t="s">
        <v>462</v>
      </c>
      <c r="G89" s="181" t="s">
        <v>197</v>
      </c>
      <c r="H89" s="181">
        <v>2500</v>
      </c>
      <c r="I89" s="181">
        <v>6000</v>
      </c>
      <c r="J89" s="181">
        <v>160</v>
      </c>
      <c r="K89" s="181">
        <v>200</v>
      </c>
      <c r="L89" s="181" t="s">
        <v>224</v>
      </c>
      <c r="M89" s="181">
        <v>146</v>
      </c>
      <c r="N89" s="181">
        <v>150</v>
      </c>
      <c r="O89" s="181">
        <v>1</v>
      </c>
      <c r="P89" s="181">
        <v>0.33600000000000002</v>
      </c>
      <c r="Q89" s="184">
        <v>0.9</v>
      </c>
      <c r="R89" s="185">
        <v>0.97333333333333338</v>
      </c>
      <c r="S89" s="181" t="s">
        <v>256</v>
      </c>
      <c r="T89" s="181" t="s">
        <v>169</v>
      </c>
    </row>
    <row r="90" spans="1:20" x14ac:dyDescent="0.25">
      <c r="A90" s="181">
        <v>101</v>
      </c>
      <c r="B90" s="182" t="s">
        <v>170</v>
      </c>
      <c r="C90" s="181">
        <v>2025</v>
      </c>
      <c r="D90" s="181" t="s">
        <v>196</v>
      </c>
      <c r="E90" s="183">
        <v>45793</v>
      </c>
      <c r="F90" s="181" t="s">
        <v>463</v>
      </c>
      <c r="G90" s="181" t="s">
        <v>197</v>
      </c>
      <c r="H90" s="181">
        <v>4800</v>
      </c>
      <c r="I90" s="181">
        <v>8000</v>
      </c>
      <c r="J90" s="181">
        <v>26</v>
      </c>
      <c r="K90" s="181" t="s">
        <v>199</v>
      </c>
      <c r="L90" s="181" t="s">
        <v>203</v>
      </c>
      <c r="M90" s="181">
        <v>2.6</v>
      </c>
      <c r="N90" s="181">
        <v>5</v>
      </c>
      <c r="O90" s="181">
        <v>1.2</v>
      </c>
      <c r="P90" s="181">
        <v>1.23E-2</v>
      </c>
      <c r="Q90" s="184">
        <v>0.04</v>
      </c>
      <c r="R90" s="185">
        <v>0.52</v>
      </c>
      <c r="S90" s="181" t="s">
        <v>256</v>
      </c>
      <c r="T90" s="181" t="s">
        <v>170</v>
      </c>
    </row>
    <row r="91" spans="1:20" x14ac:dyDescent="0.25">
      <c r="A91" s="181">
        <v>101</v>
      </c>
      <c r="B91" s="182" t="s">
        <v>170</v>
      </c>
      <c r="C91" s="181">
        <v>2025</v>
      </c>
      <c r="D91" s="181" t="s">
        <v>196</v>
      </c>
      <c r="E91" s="183">
        <v>45793</v>
      </c>
      <c r="F91" s="181" t="s">
        <v>463</v>
      </c>
      <c r="G91" s="181" t="s">
        <v>197</v>
      </c>
      <c r="H91" s="181">
        <v>4800</v>
      </c>
      <c r="I91" s="181">
        <v>8000</v>
      </c>
      <c r="J91" s="181">
        <v>26</v>
      </c>
      <c r="K91" s="181" t="s">
        <v>199</v>
      </c>
      <c r="L91" s="181" t="s">
        <v>204</v>
      </c>
      <c r="M91" s="181" t="s">
        <v>205</v>
      </c>
      <c r="N91" s="181">
        <v>15</v>
      </c>
      <c r="O91" s="181">
        <v>0</v>
      </c>
      <c r="P91" s="181" t="s">
        <v>220</v>
      </c>
      <c r="Q91" s="184">
        <v>0.12</v>
      </c>
      <c r="R91" s="185">
        <v>1.3333333333333334E-2</v>
      </c>
      <c r="S91" s="181" t="s">
        <v>256</v>
      </c>
      <c r="T91" s="181" t="s">
        <v>170</v>
      </c>
    </row>
    <row r="92" spans="1:20" x14ac:dyDescent="0.25">
      <c r="A92" s="181">
        <v>101</v>
      </c>
      <c r="B92" s="182" t="s">
        <v>170</v>
      </c>
      <c r="C92" s="181">
        <v>2025</v>
      </c>
      <c r="D92" s="181" t="s">
        <v>196</v>
      </c>
      <c r="E92" s="183">
        <v>45793</v>
      </c>
      <c r="F92" s="181" t="s">
        <v>463</v>
      </c>
      <c r="G92" s="181" t="s">
        <v>197</v>
      </c>
      <c r="H92" s="181">
        <v>4800</v>
      </c>
      <c r="I92" s="181">
        <v>8000</v>
      </c>
      <c r="J92" s="181">
        <v>26</v>
      </c>
      <c r="K92" s="181" t="s">
        <v>199</v>
      </c>
      <c r="L92" s="181" t="s">
        <v>210</v>
      </c>
      <c r="M92" s="181" t="s">
        <v>205</v>
      </c>
      <c r="N92" s="181">
        <v>10</v>
      </c>
      <c r="O92" s="181">
        <v>0</v>
      </c>
      <c r="P92" s="181" t="s">
        <v>220</v>
      </c>
      <c r="Q92" s="184">
        <v>0.08</v>
      </c>
      <c r="R92" s="185">
        <v>0.02</v>
      </c>
      <c r="S92" s="181" t="s">
        <v>256</v>
      </c>
      <c r="T92" s="181" t="s">
        <v>170</v>
      </c>
    </row>
    <row r="93" spans="1:20" x14ac:dyDescent="0.25">
      <c r="A93" s="181">
        <v>101</v>
      </c>
      <c r="B93" s="182" t="s">
        <v>170</v>
      </c>
      <c r="C93" s="181">
        <v>2025</v>
      </c>
      <c r="D93" s="181" t="s">
        <v>196</v>
      </c>
      <c r="E93" s="183">
        <v>45793</v>
      </c>
      <c r="F93" s="181" t="s">
        <v>463</v>
      </c>
      <c r="G93" s="181" t="s">
        <v>197</v>
      </c>
      <c r="H93" s="181">
        <v>4800</v>
      </c>
      <c r="I93" s="181">
        <v>8000</v>
      </c>
      <c r="J93" s="181">
        <v>26</v>
      </c>
      <c r="K93" s="181" t="s">
        <v>199</v>
      </c>
      <c r="L93" s="181" t="s">
        <v>201</v>
      </c>
      <c r="M93" s="181">
        <v>7.8</v>
      </c>
      <c r="N93" s="181">
        <v>20</v>
      </c>
      <c r="O93" s="181">
        <v>1.6</v>
      </c>
      <c r="P93" s="181">
        <v>3.7600000000000001E-2</v>
      </c>
      <c r="Q93" s="184">
        <v>0.16</v>
      </c>
      <c r="R93" s="185">
        <v>0.39</v>
      </c>
      <c r="S93" s="181" t="s">
        <v>256</v>
      </c>
      <c r="T93" s="181" t="s">
        <v>170</v>
      </c>
    </row>
    <row r="94" spans="1:20" ht="22.5" x14ac:dyDescent="0.25">
      <c r="A94" s="181" t="s">
        <v>158</v>
      </c>
      <c r="B94" s="182" t="s">
        <v>176</v>
      </c>
      <c r="C94" s="181">
        <v>2025</v>
      </c>
      <c r="D94" s="181" t="s">
        <v>196</v>
      </c>
      <c r="E94" s="183">
        <v>45995</v>
      </c>
      <c r="F94" s="181" t="s">
        <v>464</v>
      </c>
      <c r="G94" s="181" t="s">
        <v>197</v>
      </c>
      <c r="H94" s="181">
        <v>10532</v>
      </c>
      <c r="I94" s="181">
        <v>15000</v>
      </c>
      <c r="J94" s="181">
        <v>37.700000000000003</v>
      </c>
      <c r="K94" s="181">
        <v>40</v>
      </c>
      <c r="L94" s="181" t="s">
        <v>198</v>
      </c>
      <c r="M94" s="181">
        <v>3</v>
      </c>
      <c r="N94" s="181">
        <v>10</v>
      </c>
      <c r="O94" s="181">
        <v>0.9</v>
      </c>
      <c r="P94" s="181">
        <v>3.1899999999999998E-2</v>
      </c>
      <c r="Q94" s="184">
        <v>0.15</v>
      </c>
      <c r="R94" s="185">
        <v>0.3</v>
      </c>
      <c r="S94" s="181" t="s">
        <v>256</v>
      </c>
      <c r="T94" s="181" t="s">
        <v>176</v>
      </c>
    </row>
    <row r="95" spans="1:20" ht="22.5" x14ac:dyDescent="0.25">
      <c r="A95" s="181" t="s">
        <v>158</v>
      </c>
      <c r="B95" s="182" t="s">
        <v>176</v>
      </c>
      <c r="C95" s="181">
        <v>2025</v>
      </c>
      <c r="D95" s="181" t="s">
        <v>196</v>
      </c>
      <c r="E95" s="183">
        <v>45995</v>
      </c>
      <c r="F95" s="181" t="s">
        <v>464</v>
      </c>
      <c r="G95" s="181" t="s">
        <v>197</v>
      </c>
      <c r="H95" s="181">
        <v>10532</v>
      </c>
      <c r="I95" s="181">
        <v>15000</v>
      </c>
      <c r="J95" s="181">
        <v>37.700000000000003</v>
      </c>
      <c r="K95" s="181">
        <v>40</v>
      </c>
      <c r="L95" s="181" t="s">
        <v>201</v>
      </c>
      <c r="M95" s="181">
        <v>15.4</v>
      </c>
      <c r="N95" s="181">
        <v>20</v>
      </c>
      <c r="O95" s="181">
        <v>0.9</v>
      </c>
      <c r="P95" s="181">
        <v>0.1618</v>
      </c>
      <c r="Q95" s="184">
        <v>0.3</v>
      </c>
      <c r="R95" s="185">
        <v>0.77</v>
      </c>
      <c r="S95" s="181" t="s">
        <v>256</v>
      </c>
      <c r="T95" s="181" t="s">
        <v>176</v>
      </c>
    </row>
    <row r="96" spans="1:20" ht="22.5" x14ac:dyDescent="0.25">
      <c r="A96" s="181">
        <v>113</v>
      </c>
      <c r="B96" s="182" t="s">
        <v>171</v>
      </c>
      <c r="C96" s="181">
        <v>2025</v>
      </c>
      <c r="D96" s="181" t="s">
        <v>196</v>
      </c>
      <c r="E96" s="183">
        <v>45996</v>
      </c>
      <c r="F96" s="181" t="s">
        <v>465</v>
      </c>
      <c r="G96" s="181" t="s">
        <v>197</v>
      </c>
      <c r="H96" s="181">
        <v>14235</v>
      </c>
      <c r="I96" s="181">
        <v>15000</v>
      </c>
      <c r="J96" s="181">
        <v>26.2</v>
      </c>
      <c r="K96" s="181">
        <v>20</v>
      </c>
      <c r="L96" s="181" t="s">
        <v>203</v>
      </c>
      <c r="M96" s="181">
        <v>2.2000000000000002</v>
      </c>
      <c r="N96" s="181">
        <v>5</v>
      </c>
      <c r="O96" s="181">
        <v>0.8</v>
      </c>
      <c r="P96" s="181">
        <v>3.0599999999999999E-2</v>
      </c>
      <c r="Q96" s="184">
        <v>7.4999999999999997E-2</v>
      </c>
      <c r="R96" s="185">
        <v>0.44000000000000006</v>
      </c>
      <c r="S96" s="181" t="s">
        <v>256</v>
      </c>
      <c r="T96" s="181" t="s">
        <v>171</v>
      </c>
    </row>
    <row r="97" spans="1:20" ht="22.5" x14ac:dyDescent="0.25">
      <c r="A97" s="181">
        <v>113</v>
      </c>
      <c r="B97" s="182" t="s">
        <v>171</v>
      </c>
      <c r="C97" s="181">
        <v>2025</v>
      </c>
      <c r="D97" s="181" t="s">
        <v>196</v>
      </c>
      <c r="E97" s="183">
        <v>45996</v>
      </c>
      <c r="F97" s="181" t="s">
        <v>465</v>
      </c>
      <c r="G97" s="181" t="s">
        <v>197</v>
      </c>
      <c r="H97" s="181">
        <v>14235</v>
      </c>
      <c r="I97" s="181">
        <v>15000</v>
      </c>
      <c r="J97" s="181">
        <v>26.2</v>
      </c>
      <c r="K97" s="181">
        <v>20</v>
      </c>
      <c r="L97" s="181" t="s">
        <v>201</v>
      </c>
      <c r="M97" s="181" t="s">
        <v>245</v>
      </c>
      <c r="N97" s="181">
        <v>20</v>
      </c>
      <c r="O97" s="181">
        <v>0</v>
      </c>
      <c r="P97" s="181" t="s">
        <v>466</v>
      </c>
      <c r="Q97" s="184">
        <v>0.3</v>
      </c>
      <c r="R97" s="185">
        <v>5.5000000000000007E-2</v>
      </c>
      <c r="S97" s="181" t="s">
        <v>256</v>
      </c>
      <c r="T97" s="181" t="s">
        <v>171</v>
      </c>
    </row>
  </sheetData>
  <conditionalFormatting sqref="R6:R51">
    <cfRule type="cellIs" dxfId="8" priority="4" operator="greaterThan">
      <formula>0.8</formula>
    </cfRule>
  </conditionalFormatting>
  <conditionalFormatting sqref="R58">
    <cfRule type="cellIs" dxfId="7" priority="3" operator="greaterThan">
      <formula>0.8</formula>
    </cfRule>
  </conditionalFormatting>
  <conditionalFormatting sqref="R62:R71">
    <cfRule type="cellIs" dxfId="6" priority="2" operator="greaterThan">
      <formula>0.8</formula>
    </cfRule>
  </conditionalFormatting>
  <conditionalFormatting sqref="R75:R80">
    <cfRule type="cellIs" dxfId="5" priority="1" operator="greaterThan">
      <formula>0.8</formula>
    </cfRule>
  </conditionalFormatting>
  <hyperlinks>
    <hyperlink ref="B1" r:id="rId1" xr:uid="{C0828115-DE1B-425A-83F1-A56EAFCDD692}"/>
  </hyperlinks>
  <pageMargins left="0.7" right="0.7" top="0.75" bottom="0.75" header="0.3" footer="0.3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B527-6004-400E-B7D1-A92DE9B1BEB4}">
  <sheetPr>
    <tabColor rgb="FF00B050"/>
  </sheetPr>
  <dimension ref="A1:I12"/>
  <sheetViews>
    <sheetView workbookViewId="0">
      <selection activeCell="A12" sqref="A12:I12"/>
    </sheetView>
  </sheetViews>
  <sheetFormatPr defaultRowHeight="15" x14ac:dyDescent="0.25"/>
  <cols>
    <col min="2" max="2" width="13.5703125" customWidth="1"/>
    <col min="4" max="4" width="19.28515625" customWidth="1"/>
    <col min="5" max="9" width="15.85546875" customWidth="1"/>
  </cols>
  <sheetData>
    <row r="1" spans="1:9" x14ac:dyDescent="0.25">
      <c r="A1" t="s">
        <v>178</v>
      </c>
      <c r="C1" s="90" t="s">
        <v>285</v>
      </c>
    </row>
    <row r="3" spans="1:9" x14ac:dyDescent="0.25">
      <c r="A3" s="4" t="s">
        <v>261</v>
      </c>
      <c r="B3" s="4" t="s">
        <v>262</v>
      </c>
      <c r="C3" s="4"/>
      <c r="D3" s="4"/>
      <c r="E3" s="4"/>
    </row>
    <row r="5" spans="1:9" s="1" customFormat="1" ht="38.25" x14ac:dyDescent="0.25">
      <c r="A5" s="98" t="s">
        <v>263</v>
      </c>
      <c r="B5" s="98" t="s">
        <v>264</v>
      </c>
      <c r="C5" s="98" t="s">
        <v>185</v>
      </c>
      <c r="D5" s="98" t="s">
        <v>265</v>
      </c>
      <c r="E5" s="98" t="s">
        <v>273</v>
      </c>
      <c r="F5" s="99" t="s">
        <v>266</v>
      </c>
      <c r="G5" s="99" t="s">
        <v>267</v>
      </c>
      <c r="H5" s="99" t="s">
        <v>268</v>
      </c>
      <c r="I5" s="99" t="s">
        <v>269</v>
      </c>
    </row>
    <row r="6" spans="1:9" ht="25.5" x14ac:dyDescent="0.25">
      <c r="A6" s="100">
        <v>44635</v>
      </c>
      <c r="B6" s="99" t="s">
        <v>274</v>
      </c>
      <c r="C6" s="98" t="s">
        <v>275</v>
      </c>
      <c r="D6" s="100" t="s">
        <v>276</v>
      </c>
      <c r="E6" s="101">
        <v>7.6</v>
      </c>
      <c r="F6" s="98">
        <v>34</v>
      </c>
      <c r="G6" s="98">
        <v>15</v>
      </c>
      <c r="H6" s="98">
        <v>8.3000000000000007</v>
      </c>
      <c r="I6" s="98">
        <v>17</v>
      </c>
    </row>
    <row r="7" spans="1:9" ht="25.5" x14ac:dyDescent="0.25">
      <c r="A7" s="100">
        <v>44770</v>
      </c>
      <c r="B7" s="98" t="s">
        <v>277</v>
      </c>
      <c r="C7" s="98" t="s">
        <v>271</v>
      </c>
      <c r="D7" s="100" t="s">
        <v>278</v>
      </c>
      <c r="E7" s="101">
        <v>7.8</v>
      </c>
      <c r="F7" s="98">
        <v>820</v>
      </c>
      <c r="G7" s="98">
        <v>24</v>
      </c>
      <c r="H7" s="98">
        <v>9.6</v>
      </c>
      <c r="I7" s="98">
        <v>220</v>
      </c>
    </row>
    <row r="8" spans="1:9" ht="25.5" x14ac:dyDescent="0.25">
      <c r="A8" s="100">
        <v>44867</v>
      </c>
      <c r="B8" s="98" t="s">
        <v>279</v>
      </c>
      <c r="C8" s="98" t="s">
        <v>271</v>
      </c>
      <c r="D8" s="100" t="s">
        <v>280</v>
      </c>
      <c r="E8" s="101">
        <v>8.3000000000000007</v>
      </c>
      <c r="F8" s="98">
        <v>2000</v>
      </c>
      <c r="G8" s="98">
        <v>300</v>
      </c>
      <c r="H8" s="98">
        <v>180</v>
      </c>
      <c r="I8" s="98">
        <v>740</v>
      </c>
    </row>
    <row r="9" spans="1:9" ht="25.5" x14ac:dyDescent="0.25">
      <c r="A9" s="100">
        <v>44998</v>
      </c>
      <c r="B9" s="98" t="s">
        <v>281</v>
      </c>
      <c r="C9" s="98" t="s">
        <v>271</v>
      </c>
      <c r="D9" s="100" t="s">
        <v>282</v>
      </c>
      <c r="E9" s="101">
        <v>8.08</v>
      </c>
      <c r="F9" s="98">
        <v>117</v>
      </c>
      <c r="G9" s="98">
        <v>44</v>
      </c>
      <c r="H9" s="98">
        <v>126</v>
      </c>
      <c r="I9" s="98">
        <v>109.52</v>
      </c>
    </row>
    <row r="10" spans="1:9" x14ac:dyDescent="0.25">
      <c r="A10" s="100">
        <v>45118</v>
      </c>
      <c r="B10" s="98" t="s">
        <v>283</v>
      </c>
      <c r="C10" s="98" t="s">
        <v>271</v>
      </c>
      <c r="D10" s="100" t="s">
        <v>284</v>
      </c>
      <c r="E10" s="101">
        <v>6.27</v>
      </c>
      <c r="F10" s="98">
        <v>33.5</v>
      </c>
      <c r="G10" s="98">
        <v>14</v>
      </c>
      <c r="H10" s="98">
        <v>0.108</v>
      </c>
      <c r="I10" s="98">
        <v>14.874000000000001</v>
      </c>
    </row>
    <row r="11" spans="1:9" ht="25.5" x14ac:dyDescent="0.25">
      <c r="A11" s="100">
        <v>45428</v>
      </c>
      <c r="B11" s="98" t="s">
        <v>270</v>
      </c>
      <c r="C11" s="98" t="s">
        <v>271</v>
      </c>
      <c r="D11" s="100" t="s">
        <v>272</v>
      </c>
      <c r="E11" s="101">
        <v>7.97</v>
      </c>
      <c r="F11" s="98">
        <v>129</v>
      </c>
      <c r="G11" s="98">
        <v>96</v>
      </c>
      <c r="H11" s="98">
        <v>110</v>
      </c>
      <c r="I11" s="98">
        <v>113.8</v>
      </c>
    </row>
    <row r="12" spans="1:9" ht="25.5" x14ac:dyDescent="0.25">
      <c r="A12" s="186">
        <v>45673</v>
      </c>
      <c r="B12" s="187" t="s">
        <v>467</v>
      </c>
      <c r="C12" s="187" t="s">
        <v>271</v>
      </c>
      <c r="D12" s="186" t="s">
        <v>468</v>
      </c>
      <c r="E12" s="188" t="s">
        <v>469</v>
      </c>
      <c r="F12" s="187">
        <v>73.2</v>
      </c>
      <c r="G12" s="187">
        <v>60</v>
      </c>
      <c r="H12" s="187">
        <v>5.0199999999999996</v>
      </c>
      <c r="I12" s="187">
        <v>37.698</v>
      </c>
    </row>
  </sheetData>
  <hyperlinks>
    <hyperlink ref="C1" r:id="rId1" xr:uid="{25A776AE-6CCC-4E4E-B332-20B25C972FD8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Indicazioni generali</vt:lpstr>
      <vt:lpstr>5.1 MP</vt:lpstr>
      <vt:lpstr>5.1 PF</vt:lpstr>
      <vt:lpstr>5.1 Sottoprodotti</vt:lpstr>
      <vt:lpstr>5.3 Attingimento idrico</vt:lpstr>
      <vt:lpstr>5.4 Risorse energetiche - BN</vt:lpstr>
      <vt:lpstr>5.5 Combustibili</vt:lpstr>
      <vt:lpstr>5.6 Emix in aria convogliate</vt:lpstr>
      <vt:lpstr>5.7.2 Emix. in acqua</vt:lpstr>
      <vt:lpstr>5.9 Rifiuti</vt:lpstr>
      <vt:lpstr>7 Indicatori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uff.tecnico</dc:creator>
  <cp:lastModifiedBy>uff.nord</cp:lastModifiedBy>
  <cp:lastPrinted>2025-03-11T10:30:20Z</cp:lastPrinted>
  <dcterms:created xsi:type="dcterms:W3CDTF">2025-01-07T16:28:25Z</dcterms:created>
  <dcterms:modified xsi:type="dcterms:W3CDTF">2026-04-21T12:49:58Z</dcterms:modified>
</cp:coreProperties>
</file>