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M:\CRAB\ID2\F3B066CF-D170-40CA-A03A-CF3270F73F74\0\1231000-1231999\1231324\L\L\"/>
    </mc:Choice>
  </mc:AlternateContent>
  <xr:revisionPtr revIDLastSave="0" documentId="13_ncr:1_{63581DA9-2651-435F-823D-DC38A3580B23}" xr6:coauthVersionLast="47" xr6:coauthVersionMax="47" xr10:uidLastSave="{00000000-0000-0000-0000-000000000000}"/>
  <bookViews>
    <workbookView xWindow="-23148" yWindow="-108" windowWidth="23256" windowHeight="12456" tabRatio="724" firstSheet="4" activeTab="10" xr2:uid="{00000000-000D-0000-FFFF-FFFF00000000}"/>
  </bookViews>
  <sheets>
    <sheet name="COPERTINA" sheetId="21" r:id="rId1"/>
    <sheet name="Produzione" sheetId="1" r:id="rId2"/>
    <sheet name="Prodotti chimici" sheetId="19" r:id="rId3"/>
    <sheet name="Approvvigionamento idrico" sheetId="22" r:id="rId4"/>
    <sheet name="Energia Elettrica - Dati" sheetId="16" r:id="rId5"/>
    <sheet name="Energia termica COGE" sheetId="33" r:id="rId6"/>
    <sheet name="Analisi Emissioni" sheetId="34" r:id="rId7"/>
    <sheet name="Analisi Scarichi " sheetId="35" r:id="rId8"/>
    <sheet name="Rifiuti" sheetId="36" r:id="rId9"/>
    <sheet name="VascheSistConten" sheetId="42" r:id="rId10"/>
    <sheet name="Indicatori - Dati" sheetId="18" r:id="rId11"/>
  </sheets>
  <externalReferences>
    <externalReference r:id="rId12"/>
    <externalReference r:id="rId13"/>
    <externalReference r:id="rId14"/>
    <externalReference r:id="rId15"/>
  </externalReferences>
  <definedNames>
    <definedName name="_xlnm.Print_Area" localSheetId="8">Rifiuti!$A$4:$AC$134</definedName>
    <definedName name="Print_Area" localSheetId="3">'Approvvigionamento idrico'!$A$1:$I$117</definedName>
    <definedName name="Print_Area" localSheetId="10">'Indicatori - Dati'!$A$1:$C$29</definedName>
    <definedName name="Tab_Metano_SoloCoReale" localSheetId="7">[1]!Tab_Metano_Reale[#Data]</definedName>
    <definedName name="Tab_Metano_SoloCoReale" localSheetId="8">[2]!Tab_Metano_Reale[#Data]</definedName>
    <definedName name="Tab_Metano_SoloCoReale" localSheetId="9">[3]!Tab_Metano_Reale[#Data]</definedName>
    <definedName name="Tab_Metano_SoloCoReale">[2]!Tab_Metano_Reale[#Data]</definedName>
  </definedNames>
  <calcPr calcId="191029"/>
  <pivotCaches>
    <pivotCache cacheId="5" r:id="rId16"/>
  </pivotCaches>
</workbook>
</file>

<file path=xl/calcChain.xml><?xml version="1.0" encoding="utf-8"?>
<calcChain xmlns="http://schemas.openxmlformats.org/spreadsheetml/2006/main">
  <c r="F64" i="35" l="1"/>
  <c r="G64" i="35"/>
  <c r="H64" i="35"/>
  <c r="I64" i="35"/>
  <c r="J64" i="35"/>
  <c r="K64" i="35"/>
  <c r="L64" i="35"/>
  <c r="M64" i="35"/>
  <c r="N64" i="35"/>
  <c r="O64" i="35"/>
  <c r="P64" i="35"/>
  <c r="Q64" i="35"/>
  <c r="R64" i="35"/>
  <c r="S64" i="35"/>
  <c r="U64" i="35"/>
  <c r="W64" i="35"/>
  <c r="X64" i="35"/>
  <c r="Y64" i="35"/>
  <c r="Z64" i="35"/>
  <c r="AA64" i="35"/>
  <c r="AB64" i="35"/>
  <c r="G34" i="18"/>
  <c r="G33" i="18"/>
  <c r="G32" i="18"/>
  <c r="G31" i="18"/>
  <c r="G30" i="18"/>
  <c r="G25" i="18"/>
  <c r="G24" i="18"/>
  <c r="G22" i="18"/>
  <c r="G23" i="18"/>
  <c r="S95" i="16"/>
  <c r="Q95" i="16"/>
  <c r="O95" i="16"/>
  <c r="M95" i="16"/>
  <c r="F82" i="22"/>
  <c r="G11" i="18" s="1"/>
  <c r="F80" i="22"/>
  <c r="G10" i="18" s="1"/>
  <c r="F78" i="22"/>
  <c r="G9" i="18" s="1"/>
  <c r="F76" i="22"/>
  <c r="G20" i="18" l="1"/>
  <c r="G18" i="18"/>
  <c r="F18" i="18"/>
  <c r="F19" i="18" s="1"/>
  <c r="E18" i="18"/>
  <c r="D18" i="18"/>
  <c r="G16" i="18"/>
  <c r="F16" i="18"/>
  <c r="E16" i="18"/>
  <c r="D16" i="18"/>
  <c r="D19" i="18" l="1"/>
  <c r="E19" i="18"/>
  <c r="G19" i="18"/>
  <c r="G8" i="18"/>
  <c r="G4" i="18"/>
  <c r="G3" i="18"/>
  <c r="G2" i="18"/>
  <c r="G5" i="18"/>
  <c r="G6" i="18"/>
  <c r="G17" i="18" s="1"/>
  <c r="F6" i="18"/>
  <c r="E6" i="18"/>
  <c r="D6" i="18"/>
  <c r="D17" i="18" s="1"/>
  <c r="F5" i="18"/>
  <c r="E5" i="18"/>
  <c r="D5" i="18"/>
  <c r="F4" i="18"/>
  <c r="D4" i="18"/>
  <c r="E4" i="18"/>
  <c r="F3" i="18"/>
  <c r="E3" i="18"/>
  <c r="D3" i="18"/>
  <c r="F2" i="18"/>
  <c r="E2" i="18"/>
  <c r="D2" i="18"/>
  <c r="G15" i="18" l="1"/>
  <c r="G29" i="18"/>
  <c r="G38" i="18"/>
  <c r="G26" i="18"/>
  <c r="G35" i="18"/>
  <c r="G13" i="18"/>
  <c r="G36" i="18"/>
  <c r="G27" i="18"/>
  <c r="G28" i="18"/>
  <c r="G37" i="18"/>
  <c r="G14" i="18"/>
  <c r="G12" i="18"/>
  <c r="G21" i="18"/>
  <c r="E44" i="36" l="1"/>
  <c r="F44" i="36"/>
  <c r="G44" i="36"/>
  <c r="H44" i="36"/>
  <c r="B48" i="36" l="1"/>
  <c r="C48" i="36"/>
  <c r="E48" i="36" s="1"/>
  <c r="D48" i="36"/>
  <c r="F48" i="36"/>
  <c r="G48" i="36" l="1"/>
  <c r="H48" i="36"/>
  <c r="I48" i="36"/>
  <c r="B49" i="36"/>
  <c r="C49" i="36"/>
  <c r="E49" i="36" s="1"/>
  <c r="D49" i="36"/>
  <c r="F49" i="36"/>
  <c r="J48" i="36" l="1"/>
  <c r="G49" i="36"/>
  <c r="H49" i="36"/>
  <c r="I49" i="36"/>
  <c r="B50" i="36"/>
  <c r="C50" i="36"/>
  <c r="E50" i="36" s="1"/>
  <c r="D50" i="36"/>
  <c r="F50" i="36"/>
  <c r="J49" i="36" l="1"/>
  <c r="G50" i="36"/>
  <c r="H50" i="36"/>
  <c r="I50" i="36"/>
  <c r="B51" i="36"/>
  <c r="C51" i="36"/>
  <c r="E51" i="36" s="1"/>
  <c r="D51" i="36"/>
  <c r="F51" i="36"/>
  <c r="J50" i="36" l="1"/>
  <c r="G51" i="36"/>
  <c r="H51" i="36"/>
  <c r="I51" i="36"/>
  <c r="J51" i="36" l="1"/>
  <c r="AB76" i="35"/>
  <c r="AA76" i="35"/>
  <c r="Z76" i="35"/>
  <c r="Y76" i="35"/>
  <c r="X76" i="35"/>
  <c r="W76" i="35"/>
  <c r="V76" i="35"/>
  <c r="U76" i="35"/>
  <c r="T76" i="35"/>
  <c r="S76" i="35"/>
  <c r="R76" i="35"/>
  <c r="Q76" i="35"/>
  <c r="P76" i="35"/>
  <c r="O76" i="35"/>
  <c r="N76" i="35"/>
  <c r="M76" i="35"/>
  <c r="L76" i="35"/>
  <c r="K76" i="35"/>
  <c r="J76" i="35"/>
  <c r="I76" i="35"/>
  <c r="F76" i="35"/>
  <c r="E76" i="35"/>
  <c r="E64" i="35"/>
  <c r="AB47" i="35"/>
  <c r="AA47" i="35"/>
  <c r="Z47" i="35"/>
  <c r="Y47" i="35"/>
  <c r="X47" i="35"/>
  <c r="R47" i="35"/>
  <c r="Q47" i="35"/>
  <c r="Q48" i="35" s="1"/>
  <c r="P47" i="35"/>
  <c r="O47" i="35"/>
  <c r="N47" i="35"/>
  <c r="M47" i="35"/>
  <c r="L47" i="35"/>
  <c r="K47" i="35"/>
  <c r="J47" i="35"/>
  <c r="I47" i="35"/>
  <c r="F47" i="35"/>
  <c r="E47" i="35"/>
  <c r="AB34" i="35"/>
  <c r="AA34" i="35"/>
  <c r="Z34" i="35"/>
  <c r="Y34" i="35"/>
  <c r="X34" i="35"/>
  <c r="R34" i="35"/>
  <c r="Q34" i="35"/>
  <c r="P34" i="35"/>
  <c r="O34" i="35"/>
  <c r="N34" i="35"/>
  <c r="M34" i="35"/>
  <c r="L34" i="35"/>
  <c r="K34" i="35"/>
  <c r="J34" i="35"/>
  <c r="I34" i="35"/>
  <c r="F34" i="35"/>
  <c r="E34" i="35"/>
  <c r="AB20" i="35"/>
  <c r="AA20" i="35"/>
  <c r="Z20" i="35"/>
  <c r="Y20" i="35"/>
  <c r="X20" i="35"/>
  <c r="R20" i="35"/>
  <c r="Q20" i="35"/>
  <c r="P20" i="35"/>
  <c r="O20" i="35"/>
  <c r="N20" i="35"/>
  <c r="M20" i="35"/>
  <c r="L20" i="35"/>
  <c r="K20" i="35"/>
  <c r="J20" i="35"/>
  <c r="I20" i="35"/>
  <c r="F20" i="35"/>
  <c r="E20" i="35"/>
  <c r="I92" i="16" l="1"/>
  <c r="H95" i="16"/>
  <c r="H94" i="16"/>
  <c r="H92" i="16"/>
  <c r="H93" i="16"/>
  <c r="F95" i="16"/>
  <c r="F94" i="16"/>
  <c r="F92" i="16"/>
  <c r="F93" i="16"/>
  <c r="E92" i="16"/>
  <c r="E95" i="16"/>
  <c r="E93" i="16"/>
  <c r="E94" i="16"/>
  <c r="D95" i="16"/>
  <c r="D94" i="16"/>
  <c r="D93" i="16"/>
  <c r="D92" i="16"/>
  <c r="E74" i="16"/>
  <c r="E75" i="16"/>
  <c r="E76" i="16"/>
  <c r="E77" i="16"/>
  <c r="E78" i="16"/>
  <c r="E79" i="16"/>
  <c r="E80" i="16"/>
  <c r="E81" i="16"/>
  <c r="E82" i="16"/>
  <c r="E83" i="16"/>
  <c r="E84" i="16"/>
  <c r="D74" i="16"/>
  <c r="D75" i="16"/>
  <c r="D85" i="16" s="1"/>
  <c r="D76" i="16"/>
  <c r="D77" i="16"/>
  <c r="D78" i="16"/>
  <c r="D79" i="16"/>
  <c r="D80" i="16"/>
  <c r="D81" i="16"/>
  <c r="D82" i="16"/>
  <c r="D83" i="16"/>
  <c r="D84" i="16"/>
  <c r="C74" i="16"/>
  <c r="C75" i="16"/>
  <c r="C76" i="16"/>
  <c r="C77" i="16"/>
  <c r="C78" i="16"/>
  <c r="C79" i="16"/>
  <c r="C80" i="16"/>
  <c r="C81" i="16"/>
  <c r="C82" i="16"/>
  <c r="C83" i="16"/>
  <c r="C84" i="16"/>
  <c r="D73" i="16"/>
  <c r="E73" i="16"/>
  <c r="C73" i="16"/>
  <c r="B74" i="16"/>
  <c r="B75" i="16"/>
  <c r="B76" i="16"/>
  <c r="B77" i="16"/>
  <c r="B78" i="16"/>
  <c r="B79" i="16"/>
  <c r="B80" i="16"/>
  <c r="B81" i="16"/>
  <c r="B82" i="16"/>
  <c r="B83" i="16"/>
  <c r="B84" i="16"/>
  <c r="B73" i="16"/>
  <c r="E68" i="16"/>
  <c r="D68" i="16"/>
  <c r="C68" i="16"/>
  <c r="B68" i="16"/>
  <c r="E51" i="16"/>
  <c r="D51" i="16"/>
  <c r="C51" i="16"/>
  <c r="B51" i="16"/>
  <c r="E34" i="16"/>
  <c r="D34" i="16"/>
  <c r="C34" i="16"/>
  <c r="B34" i="16"/>
  <c r="E17" i="16"/>
  <c r="D17" i="16"/>
  <c r="C17" i="16"/>
  <c r="B17" i="16"/>
  <c r="F69" i="22"/>
  <c r="G7" i="18" s="1"/>
  <c r="D69" i="22"/>
  <c r="E7" i="18" s="1"/>
  <c r="C69" i="22"/>
  <c r="D7" i="18" s="1"/>
  <c r="E65" i="22"/>
  <c r="D65" i="22"/>
  <c r="C65" i="22"/>
  <c r="B65" i="22"/>
  <c r="E49" i="22"/>
  <c r="B49" i="22"/>
  <c r="D46" i="22"/>
  <c r="D45" i="22"/>
  <c r="D44" i="22"/>
  <c r="D43" i="22"/>
  <c r="D42" i="22"/>
  <c r="C42" i="22"/>
  <c r="C49" i="22" s="1"/>
  <c r="D41" i="22"/>
  <c r="D40" i="22"/>
  <c r="E33" i="22"/>
  <c r="B33" i="22"/>
  <c r="D30" i="22"/>
  <c r="D29" i="22"/>
  <c r="D28" i="22"/>
  <c r="D27" i="22"/>
  <c r="D26" i="22"/>
  <c r="C26" i="22"/>
  <c r="C33" i="22" s="1"/>
  <c r="D25" i="22"/>
  <c r="D24" i="22"/>
  <c r="E17" i="22"/>
  <c r="B17" i="22"/>
  <c r="D14" i="22"/>
  <c r="D13" i="22"/>
  <c r="D12" i="22"/>
  <c r="D11" i="22"/>
  <c r="D10" i="22"/>
  <c r="C10" i="22"/>
  <c r="C17" i="22" s="1"/>
  <c r="D9" i="22"/>
  <c r="D8" i="22"/>
  <c r="F26" i="19"/>
  <c r="B85" i="16" l="1"/>
  <c r="E85" i="16"/>
  <c r="C85" i="16"/>
  <c r="D49" i="22"/>
  <c r="D33" i="22"/>
  <c r="D17" i="22"/>
  <c r="E69" i="22" s="1"/>
  <c r="F7" i="18" s="1"/>
  <c r="E67" i="33" l="1"/>
  <c r="F67" i="33" s="1"/>
  <c r="H67" i="33" s="1"/>
  <c r="E66" i="33"/>
  <c r="F66" i="33" s="1"/>
  <c r="H66" i="33" s="1"/>
  <c r="E65" i="33"/>
  <c r="F65" i="33" s="1"/>
  <c r="H65" i="33" s="1"/>
  <c r="E64" i="33"/>
  <c r="F64" i="33" s="1"/>
  <c r="H64" i="33" s="1"/>
  <c r="E63" i="33"/>
  <c r="F63" i="33" s="1"/>
  <c r="H63" i="33" s="1"/>
  <c r="E62" i="33"/>
  <c r="F62" i="33" s="1"/>
  <c r="H62" i="33" s="1"/>
  <c r="E61" i="33"/>
  <c r="F61" i="33" s="1"/>
  <c r="H61" i="33" s="1"/>
  <c r="E60" i="33"/>
  <c r="F60" i="33" s="1"/>
  <c r="H60" i="33" s="1"/>
  <c r="E59" i="33"/>
  <c r="F59" i="33" s="1"/>
  <c r="H59" i="33" s="1"/>
  <c r="E58" i="33"/>
  <c r="F58" i="33" s="1"/>
  <c r="H58" i="33" s="1"/>
  <c r="E57" i="33"/>
  <c r="F57" i="33" s="1"/>
  <c r="H57" i="33" s="1"/>
  <c r="E56" i="33"/>
  <c r="F56" i="33" s="1"/>
  <c r="E68" i="33" l="1"/>
  <c r="F68" i="33"/>
  <c r="Q64" i="33"/>
  <c r="O64" i="33"/>
  <c r="M64" i="33"/>
  <c r="K64" i="33"/>
  <c r="I63" i="33"/>
  <c r="Q61" i="33"/>
  <c r="O61" i="33"/>
  <c r="M61" i="33"/>
  <c r="K61" i="33"/>
  <c r="I60" i="33"/>
  <c r="Q65" i="33"/>
  <c r="O65" i="33"/>
  <c r="M65" i="33"/>
  <c r="K65" i="33"/>
  <c r="I64" i="33"/>
  <c r="Q57" i="33"/>
  <c r="O57" i="33"/>
  <c r="M57" i="33"/>
  <c r="K57" i="33"/>
  <c r="Q58" i="33"/>
  <c r="O58" i="33"/>
  <c r="M58" i="33"/>
  <c r="K58" i="33"/>
  <c r="I57" i="33"/>
  <c r="Q66" i="33"/>
  <c r="O66" i="33"/>
  <c r="M66" i="33"/>
  <c r="K66" i="33"/>
  <c r="I65" i="33"/>
  <c r="Q62" i="33"/>
  <c r="O62" i="33"/>
  <c r="M62" i="33"/>
  <c r="K62" i="33"/>
  <c r="I61" i="33"/>
  <c r="Q59" i="33"/>
  <c r="O59" i="33"/>
  <c r="M59" i="33"/>
  <c r="K59" i="33"/>
  <c r="I58" i="33"/>
  <c r="Q67" i="33"/>
  <c r="O67" i="33"/>
  <c r="M67" i="33"/>
  <c r="K67" i="33"/>
  <c r="I66" i="33"/>
  <c r="Q63" i="33"/>
  <c r="O63" i="33"/>
  <c r="M63" i="33"/>
  <c r="K63" i="33"/>
  <c r="I62" i="33"/>
  <c r="Q60" i="33"/>
  <c r="O60" i="33"/>
  <c r="M60" i="33"/>
  <c r="K60" i="33"/>
  <c r="I59" i="33"/>
  <c r="H56" i="33"/>
  <c r="I56" i="33" s="1"/>
  <c r="Q56" i="33" l="1"/>
  <c r="O56" i="33"/>
  <c r="M56" i="33"/>
  <c r="H68" i="33"/>
  <c r="K56" i="33"/>
  <c r="Q68" i="33" l="1"/>
  <c r="O68" i="33"/>
  <c r="M68" i="33"/>
  <c r="K68" i="33"/>
  <c r="I67" i="33"/>
  <c r="F7" i="1" l="1"/>
  <c r="E26" i="19" l="1"/>
  <c r="F34" i="18"/>
  <c r="F33" i="18"/>
  <c r="F32" i="18"/>
  <c r="F31" i="18"/>
  <c r="F30" i="18"/>
  <c r="F20" i="18"/>
  <c r="D50" i="33"/>
  <c r="C50" i="33"/>
  <c r="E49" i="33"/>
  <c r="F49" i="33" s="1"/>
  <c r="H49" i="33" s="1"/>
  <c r="E48" i="33"/>
  <c r="F48" i="33" s="1"/>
  <c r="H48" i="33" s="1"/>
  <c r="E47" i="33"/>
  <c r="F47" i="33" s="1"/>
  <c r="H47" i="33" s="1"/>
  <c r="E46" i="33"/>
  <c r="F46" i="33" s="1"/>
  <c r="H46" i="33" s="1"/>
  <c r="E45" i="33"/>
  <c r="F45" i="33" s="1"/>
  <c r="H45" i="33" s="1"/>
  <c r="E44" i="33"/>
  <c r="F44" i="33" s="1"/>
  <c r="H44" i="33" s="1"/>
  <c r="E43" i="33"/>
  <c r="F43" i="33" s="1"/>
  <c r="H43" i="33" s="1"/>
  <c r="E42" i="33"/>
  <c r="F42" i="33" s="1"/>
  <c r="H42" i="33" s="1"/>
  <c r="E41" i="33"/>
  <c r="F41" i="33" s="1"/>
  <c r="H41" i="33" s="1"/>
  <c r="E40" i="33"/>
  <c r="F40" i="33" s="1"/>
  <c r="H40" i="33" s="1"/>
  <c r="E39" i="33"/>
  <c r="F39" i="33" s="1"/>
  <c r="H39" i="33" s="1"/>
  <c r="E38" i="33"/>
  <c r="F38" i="33" s="1"/>
  <c r="M94" i="16"/>
  <c r="F22" i="18" s="1"/>
  <c r="O94" i="16"/>
  <c r="F23" i="18" s="1"/>
  <c r="Q94" i="16"/>
  <c r="F24" i="18" s="1"/>
  <c r="R94" i="16"/>
  <c r="S94" i="16" s="1"/>
  <c r="F25" i="18" s="1"/>
  <c r="E82" i="22"/>
  <c r="F11" i="18" s="1"/>
  <c r="E80" i="22"/>
  <c r="F10" i="18" s="1"/>
  <c r="E78" i="22"/>
  <c r="F9" i="18" s="1"/>
  <c r="E76" i="22"/>
  <c r="F6" i="1"/>
  <c r="F37" i="18" l="1"/>
  <c r="F8" i="18"/>
  <c r="F21" i="18"/>
  <c r="F35" i="18"/>
  <c r="F36" i="18"/>
  <c r="F29" i="18"/>
  <c r="F28" i="18"/>
  <c r="F15" i="18"/>
  <c r="F14" i="18"/>
  <c r="F38" i="18"/>
  <c r="F17" i="18"/>
  <c r="F12" i="18"/>
  <c r="F26" i="18"/>
  <c r="F13" i="18"/>
  <c r="F27" i="18"/>
  <c r="E50" i="33"/>
  <c r="F50" i="33"/>
  <c r="Q41" i="33"/>
  <c r="O41" i="33"/>
  <c r="M41" i="33"/>
  <c r="K41" i="33"/>
  <c r="I40" i="33"/>
  <c r="Q46" i="33"/>
  <c r="O46" i="33"/>
  <c r="M46" i="33"/>
  <c r="K46" i="33"/>
  <c r="I45" i="33"/>
  <c r="Q43" i="33"/>
  <c r="O43" i="33"/>
  <c r="M43" i="33"/>
  <c r="K43" i="33"/>
  <c r="I42" i="33"/>
  <c r="Q47" i="33"/>
  <c r="O47" i="33"/>
  <c r="M47" i="33"/>
  <c r="K47" i="33"/>
  <c r="I46" i="33"/>
  <c r="Q49" i="33"/>
  <c r="O49" i="33"/>
  <c r="M49" i="33"/>
  <c r="K49" i="33"/>
  <c r="I48" i="33"/>
  <c r="Q39" i="33"/>
  <c r="O39" i="33"/>
  <c r="M39" i="33"/>
  <c r="K39" i="33"/>
  <c r="Q45" i="33"/>
  <c r="O45" i="33"/>
  <c r="M45" i="33"/>
  <c r="K45" i="33"/>
  <c r="I44" i="33"/>
  <c r="Q42" i="33"/>
  <c r="O42" i="33"/>
  <c r="M42" i="33"/>
  <c r="K42" i="33"/>
  <c r="I41" i="33"/>
  <c r="Q40" i="33"/>
  <c r="O40" i="33"/>
  <c r="M40" i="33"/>
  <c r="K40" i="33"/>
  <c r="I39" i="33"/>
  <c r="Q44" i="33"/>
  <c r="O44" i="33"/>
  <c r="M44" i="33"/>
  <c r="K44" i="33"/>
  <c r="I43" i="33"/>
  <c r="Q48" i="33"/>
  <c r="O48" i="33"/>
  <c r="M48" i="33"/>
  <c r="K48" i="33"/>
  <c r="I47" i="33"/>
  <c r="H38" i="33"/>
  <c r="I38" i="33" s="1"/>
  <c r="D26" i="19"/>
  <c r="Q38" i="33" l="1"/>
  <c r="O38" i="33"/>
  <c r="M38" i="33"/>
  <c r="H50" i="33"/>
  <c r="K38" i="33"/>
  <c r="D33" i="33"/>
  <c r="C33" i="33"/>
  <c r="E32" i="33"/>
  <c r="F32" i="33" s="1"/>
  <c r="H32" i="33" s="1"/>
  <c r="E31" i="33"/>
  <c r="F31" i="33" s="1"/>
  <c r="H31" i="33" s="1"/>
  <c r="E30" i="33"/>
  <c r="F30" i="33" s="1"/>
  <c r="H30" i="33" s="1"/>
  <c r="E29" i="33"/>
  <c r="F29" i="33" s="1"/>
  <c r="H29" i="33" s="1"/>
  <c r="E28" i="33"/>
  <c r="F28" i="33" s="1"/>
  <c r="H28" i="33" s="1"/>
  <c r="E27" i="33"/>
  <c r="F27" i="33" s="1"/>
  <c r="H27" i="33" s="1"/>
  <c r="E26" i="33"/>
  <c r="F26" i="33" s="1"/>
  <c r="H26" i="33" s="1"/>
  <c r="E25" i="33"/>
  <c r="F25" i="33" s="1"/>
  <c r="H25" i="33" s="1"/>
  <c r="E24" i="33"/>
  <c r="F24" i="33" s="1"/>
  <c r="H24" i="33" s="1"/>
  <c r="E23" i="33"/>
  <c r="F23" i="33" s="1"/>
  <c r="H23" i="33" s="1"/>
  <c r="E22" i="33"/>
  <c r="F22" i="33" s="1"/>
  <c r="H22" i="33" s="1"/>
  <c r="E21" i="33"/>
  <c r="F21" i="33" s="1"/>
  <c r="G16" i="33"/>
  <c r="D16" i="33"/>
  <c r="C16" i="33"/>
  <c r="E15" i="33"/>
  <c r="F15" i="33" s="1"/>
  <c r="H15" i="33" s="1"/>
  <c r="E14" i="33"/>
  <c r="F14" i="33" s="1"/>
  <c r="H14" i="33" s="1"/>
  <c r="E13" i="33"/>
  <c r="F13" i="33" s="1"/>
  <c r="H13" i="33" s="1"/>
  <c r="E12" i="33"/>
  <c r="F12" i="33" s="1"/>
  <c r="H12" i="33" s="1"/>
  <c r="E11" i="33"/>
  <c r="F11" i="33" s="1"/>
  <c r="H11" i="33" s="1"/>
  <c r="E10" i="33"/>
  <c r="F10" i="33" s="1"/>
  <c r="H10" i="33" s="1"/>
  <c r="E9" i="33"/>
  <c r="F9" i="33" s="1"/>
  <c r="H9" i="33" s="1"/>
  <c r="E8" i="33"/>
  <c r="F8" i="33" s="1"/>
  <c r="H8" i="33" s="1"/>
  <c r="E7" i="33"/>
  <c r="F7" i="33" s="1"/>
  <c r="H7" i="33" s="1"/>
  <c r="E6" i="33"/>
  <c r="F6" i="33" s="1"/>
  <c r="H6" i="33" s="1"/>
  <c r="E5" i="33"/>
  <c r="F5" i="33" s="1"/>
  <c r="H5" i="33" s="1"/>
  <c r="E4" i="33"/>
  <c r="F4" i="33" s="1"/>
  <c r="C3" i="33"/>
  <c r="E3" i="33" s="1"/>
  <c r="F3" i="33" s="1"/>
  <c r="H3" i="33" s="1"/>
  <c r="E20" i="18"/>
  <c r="Q50" i="33" l="1"/>
  <c r="O50" i="33"/>
  <c r="M50" i="33"/>
  <c r="K50" i="33"/>
  <c r="I49" i="33"/>
  <c r="E16" i="33"/>
  <c r="E33" i="33"/>
  <c r="F33" i="33"/>
  <c r="H21" i="33"/>
  <c r="I21" i="33" s="1"/>
  <c r="Q22" i="33"/>
  <c r="O22" i="33"/>
  <c r="K22" i="33"/>
  <c r="M22" i="33"/>
  <c r="Q30" i="33"/>
  <c r="I29" i="33"/>
  <c r="O30" i="33"/>
  <c r="K30" i="33"/>
  <c r="M30" i="33"/>
  <c r="Q26" i="33"/>
  <c r="O26" i="33"/>
  <c r="K26" i="33"/>
  <c r="M26" i="33"/>
  <c r="I25" i="33"/>
  <c r="Q28" i="33"/>
  <c r="I27" i="33"/>
  <c r="O28" i="33"/>
  <c r="K28" i="33"/>
  <c r="M28" i="33"/>
  <c r="Q23" i="33"/>
  <c r="I22" i="33"/>
  <c r="O23" i="33"/>
  <c r="M23" i="33"/>
  <c r="K23" i="33"/>
  <c r="Q31" i="33"/>
  <c r="O31" i="33"/>
  <c r="M31" i="33"/>
  <c r="K31" i="33"/>
  <c r="I30" i="33"/>
  <c r="Q25" i="33"/>
  <c r="I24" i="33"/>
  <c r="O25" i="33"/>
  <c r="M25" i="33"/>
  <c r="K25" i="33"/>
  <c r="Q27" i="33"/>
  <c r="O27" i="33"/>
  <c r="I26" i="33"/>
  <c r="M27" i="33"/>
  <c r="K27" i="33"/>
  <c r="Q29" i="33"/>
  <c r="O29" i="33"/>
  <c r="M29" i="33"/>
  <c r="K29" i="33"/>
  <c r="I28" i="33"/>
  <c r="Q24" i="33"/>
  <c r="O24" i="33"/>
  <c r="K24" i="33"/>
  <c r="M24" i="33"/>
  <c r="I23" i="33"/>
  <c r="Q32" i="33"/>
  <c r="O32" i="33"/>
  <c r="K32" i="33"/>
  <c r="M32" i="33"/>
  <c r="I31" i="33"/>
  <c r="F16" i="33"/>
  <c r="H4" i="33"/>
  <c r="K12" i="33"/>
  <c r="Q12" i="33"/>
  <c r="O12" i="33"/>
  <c r="I11" i="33"/>
  <c r="M12" i="33"/>
  <c r="K5" i="33"/>
  <c r="Q5" i="33"/>
  <c r="I4" i="33"/>
  <c r="O5" i="33"/>
  <c r="M5" i="33"/>
  <c r="K13" i="33"/>
  <c r="Q13" i="33"/>
  <c r="O13" i="33"/>
  <c r="M13" i="33"/>
  <c r="I12" i="33"/>
  <c r="K6" i="33"/>
  <c r="Q6" i="33"/>
  <c r="O6" i="33"/>
  <c r="M6" i="33"/>
  <c r="I5" i="33"/>
  <c r="I13" i="33"/>
  <c r="Q14" i="33"/>
  <c r="K14" i="33"/>
  <c r="O14" i="33"/>
  <c r="M14" i="33"/>
  <c r="I6" i="33"/>
  <c r="Q7" i="33"/>
  <c r="K7" i="33"/>
  <c r="O7" i="33"/>
  <c r="M7" i="33"/>
  <c r="I14" i="33"/>
  <c r="Q15" i="33"/>
  <c r="O15" i="33"/>
  <c r="K15" i="33"/>
  <c r="M15" i="33"/>
  <c r="K8" i="33"/>
  <c r="I7" i="33"/>
  <c r="Q8" i="33"/>
  <c r="O8" i="33"/>
  <c r="M8" i="33"/>
  <c r="Q9" i="33"/>
  <c r="O9" i="33"/>
  <c r="K9" i="33"/>
  <c r="I8" i="33"/>
  <c r="M9" i="33"/>
  <c r="K10" i="33"/>
  <c r="I9" i="33"/>
  <c r="Q10" i="33"/>
  <c r="O10" i="33"/>
  <c r="M10" i="33"/>
  <c r="K3" i="33"/>
  <c r="Q3" i="33"/>
  <c r="O3" i="33"/>
  <c r="M3" i="33"/>
  <c r="I10" i="33"/>
  <c r="Q11" i="33"/>
  <c r="K11" i="33"/>
  <c r="O11" i="33"/>
  <c r="M11" i="33"/>
  <c r="Q21" i="33" l="1"/>
  <c r="O21" i="33"/>
  <c r="H33" i="33"/>
  <c r="E30" i="18" s="1"/>
  <c r="M21" i="33"/>
  <c r="K21" i="33"/>
  <c r="Q4" i="33"/>
  <c r="O4" i="33"/>
  <c r="K4" i="33"/>
  <c r="H16" i="33"/>
  <c r="M4" i="33"/>
  <c r="M93" i="16"/>
  <c r="E22" i="18" s="1"/>
  <c r="O93" i="16"/>
  <c r="E23" i="18" s="1"/>
  <c r="Q93" i="16"/>
  <c r="E24" i="18" s="1"/>
  <c r="R93" i="16"/>
  <c r="S93" i="16" s="1"/>
  <c r="E25" i="18" s="1"/>
  <c r="D82" i="22"/>
  <c r="E11" i="18" s="1"/>
  <c r="D80" i="22"/>
  <c r="E10" i="18" s="1"/>
  <c r="D78" i="22"/>
  <c r="E9" i="18" s="1"/>
  <c r="D76" i="22"/>
  <c r="E8" i="18" s="1"/>
  <c r="E29" i="18" l="1"/>
  <c r="E28" i="18"/>
  <c r="E27" i="18"/>
  <c r="E26" i="18"/>
  <c r="E13" i="18"/>
  <c r="E12" i="18"/>
  <c r="E14" i="18"/>
  <c r="E15" i="18"/>
  <c r="Q33" i="33"/>
  <c r="E34" i="18" s="1"/>
  <c r="M33" i="33"/>
  <c r="E32" i="18" s="1"/>
  <c r="O33" i="33"/>
  <c r="E33" i="18" s="1"/>
  <c r="K33" i="33"/>
  <c r="E31" i="18" s="1"/>
  <c r="I32" i="33"/>
  <c r="Q16" i="33"/>
  <c r="O16" i="33"/>
  <c r="M16" i="33"/>
  <c r="D30" i="18"/>
  <c r="K16" i="33"/>
  <c r="I15" i="33"/>
  <c r="F5" i="1"/>
  <c r="E37" i="18" l="1"/>
  <c r="E36" i="18"/>
  <c r="E35" i="18"/>
  <c r="E38" i="18"/>
  <c r="E21" i="18"/>
  <c r="E17" i="18"/>
  <c r="D20" i="18" l="1"/>
  <c r="R92" i="16"/>
  <c r="C82" i="22"/>
  <c r="D11" i="18" s="1"/>
  <c r="C80" i="22"/>
  <c r="D10" i="18" s="1"/>
  <c r="C78" i="22"/>
  <c r="D9" i="18" s="1"/>
  <c r="C76" i="22"/>
  <c r="D8" i="18" s="1"/>
  <c r="C26" i="19"/>
  <c r="F4" i="1"/>
  <c r="D21" i="18" l="1"/>
  <c r="D12" i="18"/>
  <c r="D13" i="18"/>
  <c r="D15" i="18"/>
  <c r="D14" i="18"/>
  <c r="D34" i="18"/>
  <c r="D33" i="18"/>
  <c r="D32" i="18"/>
  <c r="D31" i="18"/>
  <c r="M92" i="16"/>
  <c r="S92" i="16"/>
  <c r="D25" i="18" s="1"/>
  <c r="Q92" i="16"/>
  <c r="O92" i="16"/>
  <c r="D23" i="18" s="1"/>
  <c r="D24" i="18" l="1"/>
  <c r="D29" i="18"/>
  <c r="D22" i="18"/>
  <c r="D27" i="18"/>
  <c r="D35" i="18"/>
  <c r="D37" i="18"/>
  <c r="D36" i="18"/>
  <c r="D38" i="18"/>
  <c r="D26" i="18" l="1"/>
  <c r="D28" i="18"/>
  <c r="B25" i="18" l="1"/>
  <c r="B24" i="18"/>
  <c r="C22" i="18"/>
  <c r="B22" i="18"/>
  <c r="B11" i="18"/>
  <c r="B10" i="18"/>
  <c r="B9" i="18"/>
  <c r="B8" i="18"/>
  <c r="B23" i="18"/>
  <c r="A5" i="18"/>
  <c r="A4" i="18"/>
  <c r="A3" i="18"/>
  <c r="A6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Busatta Valentina</author>
  </authors>
  <commentList>
    <comment ref="G2" authorId="0" shapeId="0" xr:uid="{C9D751EE-FB44-494A-8852-C30F5EDA1044}">
      <text>
        <r>
          <rPr>
            <sz val="9"/>
            <color indexed="81"/>
            <rFont val="Tahoma"/>
            <family val="2"/>
          </rPr>
          <t xml:space="preserve">Gas naturale (Nm3) :  0,01008 MWh/Nm3  </t>
        </r>
      </text>
    </comment>
    <comment ref="G20" authorId="0" shapeId="0" xr:uid="{96A32972-EF23-4EE3-B4BB-638F8861382C}">
      <text>
        <r>
          <rPr>
            <sz val="9"/>
            <color indexed="81"/>
            <rFont val="Tahoma"/>
            <family val="2"/>
          </rPr>
          <t xml:space="preserve">Gas naturale (Nm3) :  0,01008 MWh/Nm3  </t>
        </r>
      </text>
    </comment>
    <comment ref="G37" authorId="0" shapeId="0" xr:uid="{3D52FDDF-490D-4658-9DE5-AB065A6A6D94}">
      <text>
        <r>
          <rPr>
            <sz val="9"/>
            <color indexed="81"/>
            <rFont val="Tahoma"/>
            <family val="2"/>
          </rPr>
          <t xml:space="preserve">Gas naturale (Nm3) :  0,01008 MWh/Nm3  </t>
        </r>
      </text>
    </comment>
    <comment ref="G55" authorId="0" shapeId="0" xr:uid="{6072A795-23F3-4013-9B1B-AB555495E10D}">
      <text>
        <r>
          <rPr>
            <sz val="9"/>
            <color indexed="81"/>
            <rFont val="Tahoma"/>
            <family val="2"/>
          </rPr>
          <t xml:space="preserve">Gas naturale (Nm3) :  0,01008 MWh/Nm3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CRAB - Mattia Majolo</author>
  </authors>
  <commentList>
    <comment ref="A1" authorId="0" shapeId="0" xr:uid="{425D297F-5C81-4679-9768-D2A93D3705B3}">
      <text>
        <r>
          <rPr>
            <b/>
            <sz val="9"/>
            <color indexed="81"/>
            <rFont val="Tahoma"/>
            <family val="2"/>
          </rPr>
          <t>CRAB - Mattia Majolo:</t>
        </r>
        <r>
          <rPr>
            <sz val="9"/>
            <color indexed="81"/>
            <rFont val="Tahoma"/>
            <family val="2"/>
          </rPr>
          <t xml:space="preserve">
Attualmente (luglio 2024) foglio non gestito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tc={43A45D5C-A603-47BB-9BCE-FF9AF5C20808}</author>
  </authors>
  <commentList>
    <comment ref="J18" authorId="0" shapeId="0" xr:uid="{EFF88CEE-2B07-4BA1-BD8C-F9EF2A228FC8}">
      <text>
        <r>
          <rPr>
            <sz val="11"/>
            <color theme="1"/>
            <rFont val="Calibri"/>
            <family val="2"/>
            <scheme val="minor"/>
          </rPr>
  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Rientra nel limite considerata l'incertezza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CRAB - Mattia Majolo</author>
  </authors>
  <commentList>
    <comment ref="A1" authorId="0" shapeId="0" xr:uid="{0C5253C2-E9E5-433A-9DD8-99E94BC1DE75}">
      <text>
        <r>
          <rPr>
            <b/>
            <sz val="9"/>
            <color indexed="81"/>
            <rFont val="Tahoma"/>
            <family val="2"/>
          </rPr>
          <t>CRAB - Mattia Majolo:</t>
        </r>
        <r>
          <rPr>
            <sz val="9"/>
            <color indexed="81"/>
            <rFont val="Tahoma"/>
            <family val="2"/>
          </rPr>
          <t xml:space="preserve">
Caricare i dati annualmente dopo MUD. Indicativamente metà anno successivo</t>
        </r>
      </text>
    </comment>
  </commentList>
</comments>
</file>

<file path=xl/sharedStrings.xml><?xml version="1.0" encoding="utf-8"?>
<sst xmlns="http://schemas.openxmlformats.org/spreadsheetml/2006/main" count="1026" uniqueCount="408">
  <si>
    <t>kg/anno</t>
  </si>
  <si>
    <t>Anno</t>
  </si>
  <si>
    <t>Totale</t>
  </si>
  <si>
    <t>ATTINGIMENTO IDRICO</t>
  </si>
  <si>
    <t>Descrizione rifiuto</t>
  </si>
  <si>
    <t>Codice CER</t>
  </si>
  <si>
    <t>R</t>
  </si>
  <si>
    <t>R/D</t>
  </si>
  <si>
    <t>Totale rifiuti avviati a recupero</t>
  </si>
  <si>
    <t>Totale rifiuti avviati a smaltimento</t>
  </si>
  <si>
    <t>Frazione recuperata</t>
  </si>
  <si>
    <t>TOTALE</t>
  </si>
  <si>
    <t>ENERGIA ELETTRICA</t>
  </si>
  <si>
    <t>CONSUMI COMPLESSIVI ANNUI</t>
  </si>
  <si>
    <t>mc/anno</t>
  </si>
  <si>
    <t>RIFIUTI TOTALI</t>
  </si>
  <si>
    <t>kg</t>
  </si>
  <si>
    <t>kWh</t>
  </si>
  <si>
    <t>REGISTRO DATI E GRAFICI</t>
  </si>
  <si>
    <t>PIANO DI MONITORAGGIO E CONTROLLO</t>
  </si>
  <si>
    <t>Trattamento irrestringibile</t>
  </si>
  <si>
    <t>Tintoria Matasse</t>
  </si>
  <si>
    <t>Tot .prodotto tinto</t>
  </si>
  <si>
    <t>Acquedotto</t>
  </si>
  <si>
    <t>RIPARTIZIONE CONSUMI IDRICI (stima)</t>
  </si>
  <si>
    <t>%</t>
  </si>
  <si>
    <r>
      <t>m</t>
    </r>
    <r>
      <rPr>
        <b/>
        <vertAlign val="superscript"/>
        <sz val="10"/>
        <rFont val="Arial"/>
        <family val="2"/>
      </rPr>
      <t>3</t>
    </r>
  </si>
  <si>
    <t>RIPARTIZIONE ENERGIA ELETTRICA (stima)</t>
  </si>
  <si>
    <t>RIPARTIZIONE ENERGIA TERMICA (stima)</t>
  </si>
  <si>
    <t>TRATTAMENTO IRRESTRINGIBILE</t>
  </si>
  <si>
    <t>Tot. Trattato</t>
  </si>
  <si>
    <t>Indice base prodotto tinto</t>
  </si>
  <si>
    <t>kg/kg 
tinto</t>
  </si>
  <si>
    <t>Acquistata
[kWh]</t>
  </si>
  <si>
    <t>Consumata
[kWh]</t>
  </si>
  <si>
    <t>Data</t>
  </si>
  <si>
    <r>
      <t>[mg/Nm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</si>
  <si>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t>COD</t>
  </si>
  <si>
    <t>Azoto ammoniacale</t>
  </si>
  <si>
    <t>Azoto nitrico</t>
  </si>
  <si>
    <t>Azoto nitroso</t>
  </si>
  <si>
    <t>Tens. Totali</t>
  </si>
  <si>
    <t>mg/l</t>
  </si>
  <si>
    <t>Laboratorio</t>
  </si>
  <si>
    <t>Tens. Anionici 
MBAS</t>
  </si>
  <si>
    <t>Tens. Non ionici 
BIAS</t>
  </si>
  <si>
    <t>Fosforo totale</t>
  </si>
  <si>
    <t>Cromo tot.</t>
  </si>
  <si>
    <t>Tintoria Rocche</t>
  </si>
  <si>
    <t>PRODUZIONE</t>
  </si>
  <si>
    <t>Coloranti liquidi</t>
  </si>
  <si>
    <t>Coloranti in polvere</t>
  </si>
  <si>
    <t>Ausiliari per tintoria</t>
  </si>
  <si>
    <t>Acido formico</t>
  </si>
  <si>
    <t>Acido acetico</t>
  </si>
  <si>
    <t>Acqua ossigenata</t>
  </si>
  <si>
    <t>Soda caustica</t>
  </si>
  <si>
    <t>CONSUMO PRODOTTI CHIMICI</t>
  </si>
  <si>
    <t>04 02 20</t>
  </si>
  <si>
    <t>08 03 18</t>
  </si>
  <si>
    <t>Tintoria rocche</t>
  </si>
  <si>
    <t>Tinto tops</t>
  </si>
  <si>
    <t>Tinto rocche</t>
  </si>
  <si>
    <t>litri/kg</t>
  </si>
  <si>
    <t>Tintoria tops e stampa</t>
  </si>
  <si>
    <t>Prodotto</t>
  </si>
  <si>
    <t>Stato fisico</t>
  </si>
  <si>
    <t>solido</t>
  </si>
  <si>
    <t>liquido</t>
  </si>
  <si>
    <t>Ammoniaca</t>
  </si>
  <si>
    <t>Sali</t>
  </si>
  <si>
    <t>polvere</t>
  </si>
  <si>
    <t>Sodio dicloroisocianurato</t>
  </si>
  <si>
    <t>Sodio bisolfito liq.</t>
  </si>
  <si>
    <t>Sodio carbonato Solvay</t>
  </si>
  <si>
    <t>Ipoclorito di sodio</t>
  </si>
  <si>
    <t>Olio combustibile</t>
  </si>
  <si>
    <t>Oli minerali</t>
  </si>
  <si>
    <t>Acqua ad uso industriale</t>
  </si>
  <si>
    <t>Tintoria matasse</t>
  </si>
  <si>
    <t>Ausiliari per trattamenti irrestringibile</t>
  </si>
  <si>
    <t>Cloro liquido</t>
  </si>
  <si>
    <t>Sodio bicromato</t>
  </si>
  <si>
    <t>Abbattimento NOx</t>
  </si>
  <si>
    <t>Prodotta fotovoltaico
[kWh]</t>
  </si>
  <si>
    <t>Venduta fotovoltaico
[kWh]</t>
  </si>
  <si>
    <t>Prodotta cogenerazione
[kWh]</t>
  </si>
  <si>
    <t>Venduta cogenerazione
[kWh]</t>
  </si>
  <si>
    <t>Polveri</t>
  </si>
  <si>
    <t>Ossidi di azoto</t>
  </si>
  <si>
    <t>Cloro e suoi composti (espressi come HCl)</t>
  </si>
  <si>
    <t>Generatore Ferroli 1 
(kW 5.815)</t>
  </si>
  <si>
    <t>Altri oli per motori, ingranaggi e lubrificazione</t>
  </si>
  <si>
    <t>13 02 08*</t>
  </si>
  <si>
    <t>15 01 01</t>
  </si>
  <si>
    <t>15 01 02</t>
  </si>
  <si>
    <t>16 02 14</t>
  </si>
  <si>
    <t>Ferro e acciaio</t>
  </si>
  <si>
    <t>17 04 05</t>
  </si>
  <si>
    <t>20 01 21*</t>
  </si>
  <si>
    <t>Fanghi prodotti dal trattamento in loco degli effluenti, diversi da quelli di cui alla voce 04 02 19</t>
  </si>
  <si>
    <t>D</t>
  </si>
  <si>
    <t>Indice Trattamento irrestringibile</t>
  </si>
  <si>
    <t>Indice Tintoria tops</t>
  </si>
  <si>
    <t>Indice tintoria rocche</t>
  </si>
  <si>
    <t>Indice tintoria matasse</t>
  </si>
  <si>
    <t>kWh/kg</t>
  </si>
  <si>
    <t>Finissaggio e Tintoria Ferraris S.p.A.</t>
  </si>
  <si>
    <t>Strada Trossi 1</t>
  </si>
  <si>
    <t>13871 BENNA</t>
  </si>
  <si>
    <t>CRAB</t>
  </si>
  <si>
    <t>15 02 02*</t>
  </si>
  <si>
    <t>15 01 03</t>
  </si>
  <si>
    <t>Imballaggi in legno</t>
  </si>
  <si>
    <t>16 07 08*</t>
  </si>
  <si>
    <t>08 01 11*</t>
  </si>
  <si>
    <t>Pitture e vernici di scarto, contenenti solventi organici o altre sostanze pericolose</t>
  </si>
  <si>
    <t>Apparecchiature fuori uso contenenti componenti pericolosi diversi da quelli di cui alle voci 160209 a 160212</t>
  </si>
  <si>
    <t>04 02 22</t>
  </si>
  <si>
    <t>Rifiuti da fibre tessili lavorate</t>
  </si>
  <si>
    <t>17 04 02</t>
  </si>
  <si>
    <t>Alluminio</t>
  </si>
  <si>
    <t>Altre emulsioni</t>
  </si>
  <si>
    <t>13 08 02*</t>
  </si>
  <si>
    <t>17 02 02</t>
  </si>
  <si>
    <t>Monossido di Carbonio</t>
  </si>
  <si>
    <t>16 02 13*</t>
  </si>
  <si>
    <t>Colonna1</t>
  </si>
  <si>
    <t>Colonna2</t>
  </si>
  <si>
    <t>%2</t>
  </si>
  <si>
    <t>kWh3</t>
  </si>
  <si>
    <t>%4</t>
  </si>
  <si>
    <t>%3</t>
  </si>
  <si>
    <t>kWh2</t>
  </si>
  <si>
    <t>kWh4</t>
  </si>
  <si>
    <t>Mese</t>
  </si>
  <si>
    <t>P/NP</t>
  </si>
  <si>
    <t>P</t>
  </si>
  <si>
    <t>Imballaggi di carta e cartone</t>
  </si>
  <si>
    <t>NP</t>
  </si>
  <si>
    <t>Altri materiali isolanti contenenti o costituiti da sostanze pericolose</t>
  </si>
  <si>
    <t>Totale rifiuti pericolosi</t>
  </si>
  <si>
    <t>Totale rifiuti NON pericolosi</t>
  </si>
  <si>
    <t>Etichette di riga</t>
  </si>
  <si>
    <t>Totale complessivo</t>
  </si>
  <si>
    <t>Imballaggi di plastica</t>
  </si>
  <si>
    <t>Apparecchiature fuori uso, diverse da quelle di cui alle voci da 160209 a 160213</t>
  </si>
  <si>
    <t>Tubi fluorescenti ed altri rifiuti contenenti mercurio</t>
  </si>
  <si>
    <t>Rifiuti organici, contenenti sostanze pericolose</t>
  </si>
  <si>
    <t>Assorbenti, materiali filtranti (inclusi i filtri dell'olio non specificati altrimenti), stracci e indumenti protettivi, contaminati da sostanze pericolose</t>
  </si>
  <si>
    <t>Terra e rocce, contenenti sostanze pericolose</t>
  </si>
  <si>
    <t>Filtri dell'olio</t>
  </si>
  <si>
    <t> 0</t>
  </si>
  <si>
    <t>Gas in contenitori a pressione (compresi gli halon), contenenti sostanze pericolose</t>
  </si>
  <si>
    <t>Batterie alcaline</t>
  </si>
  <si>
    <t>Rifiuti contenenti oli</t>
  </si>
  <si>
    <t>Rifiuti misti dell’attività di costruzione e demolizione,
diversi da quelli di cui alle voci 170901, 170902 e 170903</t>
  </si>
  <si>
    <t>Indice totale</t>
  </si>
  <si>
    <t>Sodio metabisolfito</t>
  </si>
  <si>
    <t>Solido</t>
  </si>
  <si>
    <t>Ricircolo acque di raffreddamento</t>
  </si>
  <si>
    <t>41 (ex 13)</t>
  </si>
  <si>
    <t>1 (ex 29)</t>
  </si>
  <si>
    <t>57 (ex 33)</t>
  </si>
  <si>
    <t>Nichel</t>
  </si>
  <si>
    <t>Rame</t>
  </si>
  <si>
    <t>Zinco</t>
  </si>
  <si>
    <t>2021</t>
  </si>
  <si>
    <t>Potassio monopersolfato</t>
  </si>
  <si>
    <t>2022</t>
  </si>
  <si>
    <t>Acquistati 
dalla rete gas [Stmc]</t>
  </si>
  <si>
    <t>Usati per cogenerare
 [Stmc]</t>
  </si>
  <si>
    <t>Usati per 
caldaia  [Stmc]</t>
  </si>
  <si>
    <t>Consumo metano [Stmc] = caldaie + 35% coge</t>
  </si>
  <si>
    <t>PCI (dato standard annuale Min Ambiente) 
[GJ/1.000 Stmc]</t>
  </si>
  <si>
    <t>Consumo energetico TOTALE [kWh]</t>
  </si>
  <si>
    <t>Δ% consumo energia</t>
  </si>
  <si>
    <t xml:space="preserve">gennaio </t>
  </si>
  <si>
    <t xml:space="preserve">febbraio </t>
  </si>
  <si>
    <t xml:space="preserve">marzo </t>
  </si>
  <si>
    <t xml:space="preserve">aprile </t>
  </si>
  <si>
    <t xml:space="preserve">maggio </t>
  </si>
  <si>
    <t xml:space="preserve">giugno </t>
  </si>
  <si>
    <t xml:space="preserve">luglio </t>
  </si>
  <si>
    <t xml:space="preserve">agosto </t>
  </si>
  <si>
    <t>settembre</t>
  </si>
  <si>
    <t>ottobre</t>
  </si>
  <si>
    <t>novembre</t>
  </si>
  <si>
    <t>dicembre</t>
  </si>
  <si>
    <t>ENERGIA TERMICA</t>
  </si>
  <si>
    <t>ENERGIA TERMICA - consumo metano</t>
  </si>
  <si>
    <t>[kWh]</t>
  </si>
  <si>
    <t>2023</t>
  </si>
  <si>
    <t>Anno 2023</t>
  </si>
  <si>
    <t>TOTALE 2023</t>
  </si>
  <si>
    <t>Totale 2021</t>
  </si>
  <si>
    <t>Anno 2022</t>
  </si>
  <si>
    <t>TOTALE 2022</t>
  </si>
  <si>
    <t>230568-001</t>
  </si>
  <si>
    <t>230951-001</t>
  </si>
  <si>
    <t>Veicoli fuori uso</t>
  </si>
  <si>
    <t>Rifiuti inorganici diversi da quelli di cui alla voce 16 03 03</t>
  </si>
  <si>
    <t>Batterie al Niche - cadmio</t>
  </si>
  <si>
    <t>Rame,bronzo,ottone</t>
  </si>
  <si>
    <t>2024</t>
  </si>
  <si>
    <t>Anno 2024</t>
  </si>
  <si>
    <t>TOTALE 2024</t>
  </si>
  <si>
    <t>2025</t>
  </si>
  <si>
    <t>Anno 2025</t>
  </si>
  <si>
    <t>TOTALE 2025</t>
  </si>
  <si>
    <t>240454-001</t>
  </si>
  <si>
    <t>250573-001</t>
  </si>
  <si>
    <t>251162-001</t>
  </si>
  <si>
    <t>230371-001/002/003</t>
  </si>
  <si>
    <t>Rifiuti organici diversi da quelli di cui alla voce 16 03 05</t>
  </si>
  <si>
    <t>Batterie al piombo</t>
  </si>
  <si>
    <t>(vuoto)</t>
  </si>
  <si>
    <t>Pozzo 3</t>
  </si>
  <si>
    <r>
      <t xml:space="preserve"> [m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0"/>
        <rFont val="Arial"/>
      </rPr>
      <t>]</t>
    </r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</si>
  <si>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</si>
  <si>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</si>
  <si>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</si>
  <si>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</si>
  <si>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</si>
  <si>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</si>
  <si>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</si>
  <si>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</si>
  <si>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Pozzo 4</t>
  </si>
  <si>
    <t>Pozzo 5</t>
  </si>
  <si>
    <t>Pozzo 6 (da dicembre 2025)</t>
  </si>
  <si>
    <t>APPROVVIGIONAMENTO IDRICO</t>
  </si>
  <si>
    <t>Acquistata - Utenza 2543265</t>
  </si>
  <si>
    <t xml:space="preserve"> [kWh]</t>
  </si>
  <si>
    <t>Prodotta (fotovoltaico) - Utenza 968010050030</t>
  </si>
  <si>
    <t>Venduta (fotovoltaico)</t>
  </si>
  <si>
    <t>Cogenerazione - Utenza 51402964</t>
  </si>
  <si>
    <t>Consumata = Acquistata + Prodotta - Venduta + Cogenerazione</t>
  </si>
  <si>
    <t>Analisi Emissioni in atmosfera</t>
  </si>
  <si>
    <t>ID Punto di Emissione</t>
  </si>
  <si>
    <t>Lavorazione</t>
  </si>
  <si>
    <t>Impianto di cogenerazione alimentato a gas metano (2,053 kW)</t>
  </si>
  <si>
    <t>Generatore Mingazzini 1
(6,203 kW )</t>
  </si>
  <si>
    <t>Parametri</t>
  </si>
  <si>
    <t>Unità di Misura</t>
  </si>
  <si>
    <r>
      <t>[mg/Nm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0"/>
        <rFont val="Arial"/>
      </rPr>
      <t>]</t>
    </r>
  </si>
  <si>
    <t>RdP</t>
  </si>
  <si>
    <t>Limite</t>
  </si>
  <si>
    <t>220066-001</t>
  </si>
  <si>
    <t>240338-001</t>
  </si>
  <si>
    <t>240338-002</t>
  </si>
  <si>
    <t>240338-003</t>
  </si>
  <si>
    <t>250410-001</t>
  </si>
  <si>
    <t>250410-002</t>
  </si>
  <si>
    <t>250410-003</t>
  </si>
  <si>
    <t>220765-001</t>
  </si>
  <si>
    <t>221020-001</t>
  </si>
  <si>
    <t>Generatore Mingazzini 2
(6,200 kW )</t>
  </si>
  <si>
    <t>Analisi Scarichi Idrici</t>
  </si>
  <si>
    <t>&lt; valore</t>
  </si>
  <si>
    <t>SED 1/2</t>
  </si>
  <si>
    <t>Solidi sospesi totali</t>
  </si>
  <si>
    <t>BOD5</t>
  </si>
  <si>
    <t>Azoto totale</t>
  </si>
  <si>
    <t>Tens. Cationici 
CTAB</t>
  </si>
  <si>
    <t>Cromo VI - non più ricercato</t>
  </si>
  <si>
    <t>AOX - nuovo AIA 2025</t>
  </si>
  <si>
    <t>Colore - nuovo AIA 2025</t>
  </si>
  <si>
    <t>HOI - nuovo AIA 2025</t>
  </si>
  <si>
    <t>PFAs - nuovo AIA 2025 (4 volte/anno)</t>
  </si>
  <si>
    <t>Antimonio - nuovo AIA 2025</t>
  </si>
  <si>
    <t>Cadmio - non più ricercato</t>
  </si>
  <si>
    <t>Piombo - non più ricercato</t>
  </si>
  <si>
    <r>
      <t>mg NH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0"/>
        <rFont val="Arial"/>
      </rPr>
      <t>/l</t>
    </r>
  </si>
  <si>
    <t>Data campionamento</t>
  </si>
  <si>
    <t xml:space="preserve">na </t>
  </si>
  <si>
    <t>na</t>
  </si>
  <si>
    <t>1:20</t>
  </si>
  <si>
    <t>LOQ</t>
  </si>
  <si>
    <t>220060-001</t>
  </si>
  <si>
    <t>220123-001</t>
  </si>
  <si>
    <t>220197-001</t>
  </si>
  <si>
    <t>220255-001</t>
  </si>
  <si>
    <t>220368-001</t>
  </si>
  <si>
    <t>220496-001</t>
  </si>
  <si>
    <t xml:space="preserve">220542-001 </t>
  </si>
  <si>
    <t xml:space="preserve">220631-001 </t>
  </si>
  <si>
    <t>220825-001</t>
  </si>
  <si>
    <t>220938-001</t>
  </si>
  <si>
    <t>221104-001</t>
  </si>
  <si>
    <t>media 2022</t>
  </si>
  <si>
    <t>230031-001</t>
  </si>
  <si>
    <t>230113-001</t>
  </si>
  <si>
    <t>230292-001</t>
  </si>
  <si>
    <t>230394-001</t>
  </si>
  <si>
    <t>230444-001</t>
  </si>
  <si>
    <t>230514-001</t>
  </si>
  <si>
    <t>230660-001</t>
  </si>
  <si>
    <t>230814-001</t>
  </si>
  <si>
    <t>230923-001</t>
  </si>
  <si>
    <t>231041-001</t>
  </si>
  <si>
    <t>231187-001</t>
  </si>
  <si>
    <t>media 2023</t>
  </si>
  <si>
    <t>240004-001</t>
  </si>
  <si>
    <t>240077-001</t>
  </si>
  <si>
    <t>240201-001</t>
  </si>
  <si>
    <t>240268-001</t>
  </si>
  <si>
    <t>240428-001</t>
  </si>
  <si>
    <t>240522-001</t>
  </si>
  <si>
    <t>240632-001</t>
  </si>
  <si>
    <t>240848-001</t>
  </si>
  <si>
    <t>240977-01</t>
  </si>
  <si>
    <t>241102-001</t>
  </si>
  <si>
    <t>241208-001</t>
  </si>
  <si>
    <t>media 2024</t>
  </si>
  <si>
    <t>250026-002</t>
  </si>
  <si>
    <t>250092-002</t>
  </si>
  <si>
    <t>250228-002</t>
  </si>
  <si>
    <t>250321-002</t>
  </si>
  <si>
    <t>250513-002</t>
  </si>
  <si>
    <t>250640-002</t>
  </si>
  <si>
    <t>250709-002 PFAS</t>
  </si>
  <si>
    <t>Arpa</t>
  </si>
  <si>
    <t>25FD05903 PFAS</t>
  </si>
  <si>
    <t>250974-002</t>
  </si>
  <si>
    <t>250975-001 PFAS</t>
  </si>
  <si>
    <t>251110-002</t>
  </si>
  <si>
    <t>251295-002</t>
  </si>
  <si>
    <t>251262-005 PFAS</t>
  </si>
  <si>
    <t xml:space="preserve">251389-002 </t>
  </si>
  <si>
    <t>media 2025</t>
  </si>
  <si>
    <t>media 2026</t>
  </si>
  <si>
    <t>Rifiuti  ESCLUSI quelli da fanghi e fibre tessli lavorate</t>
  </si>
  <si>
    <t>Fanghi</t>
  </si>
  <si>
    <t>Totale rifiuti smaltiti</t>
  </si>
  <si>
    <t>Rifiuti smaltiti per anno</t>
  </si>
  <si>
    <t>17 02 03</t>
  </si>
  <si>
    <t>Rifiuti di plastica provenienti da operazioni di costruzione e demolizione</t>
  </si>
  <si>
    <t>Rifiuti in vetro derivanti da lavori di costruzione e demolizione</t>
  </si>
  <si>
    <t>15 01 10*</t>
  </si>
  <si>
    <t>Imballaggi contenenti residui di sostanza pericolose o contaminati da tali sostanze</t>
  </si>
  <si>
    <t>17 09 04</t>
  </si>
  <si>
    <t>17 06 03*</t>
  </si>
  <si>
    <t>17 05 03*</t>
  </si>
  <si>
    <t>17 04 07</t>
  </si>
  <si>
    <t xml:space="preserve">Metalli misti </t>
  </si>
  <si>
    <t xml:space="preserve">17 04 01  </t>
  </si>
  <si>
    <t>16 06 04</t>
  </si>
  <si>
    <t>16 06 02*</t>
  </si>
  <si>
    <t>16 06 01*</t>
  </si>
  <si>
    <t>16 05 04*</t>
  </si>
  <si>
    <t>16 03 04</t>
  </si>
  <si>
    <t>16 03 06</t>
  </si>
  <si>
    <t>16 03 05*</t>
  </si>
  <si>
    <t>16 03 03*</t>
  </si>
  <si>
    <t>Rifiuti i norganici conteneti sostanze pericolose</t>
  </si>
  <si>
    <t>16 01 07*</t>
  </si>
  <si>
    <t>16 01 04*</t>
  </si>
  <si>
    <t>Somma di kg smaltiti
2024</t>
  </si>
  <si>
    <t>Somma di kg smaltiti
2023</t>
  </si>
  <si>
    <t>Somma di kg smaltiti
2022</t>
  </si>
  <si>
    <t>Toner per stampa esauriti, diversi da quelli di cui alla voce 08 03 17</t>
  </si>
  <si>
    <t>kg smaltiti
2025</t>
  </si>
  <si>
    <t>kg smaltiti
2024</t>
  </si>
  <si>
    <t>kg smaltiti
2023</t>
  </si>
  <si>
    <t>kg smaltiti
2022</t>
  </si>
  <si>
    <t>Rifiuti smaltiti per CER, R/D, P/NP</t>
  </si>
  <si>
    <t>Rifiuti</t>
  </si>
  <si>
    <t>Somma di kg smaltiti
2025</t>
  </si>
  <si>
    <t>Bacino di contenimento</t>
  </si>
  <si>
    <t>Verifiche di tenuta dei sistemi di contenimento</t>
  </si>
  <si>
    <t>N.identificativo area di stoccaggio</t>
  </si>
  <si>
    <t>Descrizione</t>
  </si>
  <si>
    <t>S4</t>
  </si>
  <si>
    <t>Locale stoccaggio cloro</t>
  </si>
  <si>
    <t>S5</t>
  </si>
  <si>
    <t>S6</t>
  </si>
  <si>
    <t>S8</t>
  </si>
  <si>
    <t>Tettoia prodotti per impianto di depurazione</t>
  </si>
  <si>
    <t>S9</t>
  </si>
  <si>
    <t>Cisterne reparto irrestringibile</t>
  </si>
  <si>
    <t>Rifiuti prodotti inviati a recupero</t>
  </si>
  <si>
    <t>Percentuale sul totale dei rifiuti</t>
  </si>
  <si>
    <t>Usati per cogeneratore
 [Stmc]</t>
  </si>
  <si>
    <t>Sistema di contenimento</t>
  </si>
  <si>
    <t>Data e descrizione ultimo intervento di matunenzione/prove di tenuta</t>
  </si>
  <si>
    <t>riferimento al documento interno di manutenzione e controllo</t>
  </si>
  <si>
    <t>S1</t>
  </si>
  <si>
    <t>Serbatoio Soda Caustica 1200 L</t>
  </si>
  <si>
    <t>Non previsti</t>
  </si>
  <si>
    <t>MOD_036</t>
  </si>
  <si>
    <t>S2</t>
  </si>
  <si>
    <t>Cucina colori tintoria matasse</t>
  </si>
  <si>
    <t>Grigliati di raccolta sversamenti</t>
  </si>
  <si>
    <t>S3</t>
  </si>
  <si>
    <t>Cucina colori tintoria rocche e tops</t>
  </si>
  <si>
    <t>Sensori fuoriuscite gas</t>
  </si>
  <si>
    <t>Locale cisternette ausiliari chimici</t>
  </si>
  <si>
    <t>Bacini di contenimento</t>
  </si>
  <si>
    <t>Parco Serbatoi ausiliari chimici</t>
  </si>
  <si>
    <t>S7</t>
  </si>
  <si>
    <t>Serbatoio soda per depuratore</t>
  </si>
  <si>
    <t>S10</t>
  </si>
  <si>
    <t>Serbatoio antischiuma</t>
  </si>
  <si>
    <t>S11</t>
  </si>
  <si>
    <t>Cubi ausiliari chimici</t>
  </si>
  <si>
    <t>Tinto matasse</t>
  </si>
  <si>
    <t>250709-001</t>
  </si>
  <si>
    <t>Data versione: 18/05/2025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</si>
</sst>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dd/mm/yy"/>
    <numFmt numFmtId="165" formatCode="0.0"/>
    <numFmt numFmtId="166" formatCode="0.000"/>
    <numFmt numFmtId="167" formatCode="_-* #,##0_-;\-* #,##0_-;_-* &quot;-&quot;??_-;_-@_-"/>
    <numFmt numFmtId="168" formatCode="#,##0.000"/>
    <numFmt numFmtId="169" formatCode="#,##0.00000"/>
    <numFmt numFmtId="170" formatCode="0.0000"/>
    <numFmt numFmtId="171" formatCode="0.00000"/>
    <numFmt numFmtId="172" formatCode="_-* #,##0\ _€_-;\-* #,##0\ _€_-;_-* &quot;-&quot;\ _€_-;_-@_-"/>
    <numFmt numFmtId="173" formatCode="#,##0_ ;\-#,##0\ 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22"/>
      <name val="Times New Roman"/>
      <family val="1"/>
    </font>
    <font>
      <b/>
      <sz val="17.5"/>
      <name val="Times New Roman"/>
      <family val="1"/>
    </font>
    <font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11"/>
      <name val="Arial"/>
      <family val="2"/>
    </font>
    <font>
      <b/>
      <sz val="11"/>
      <color rgb="FFFFFFFF"/>
      <name val="Times New Roman"/>
      <family val="1"/>
    </font>
    <font>
      <sz val="8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Times New Roman"/>
      <family val="1"/>
    </font>
    <font>
      <b/>
      <sz val="10"/>
      <name val="Arial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</font>
  </fonts>
  <fills count="1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4F81BD"/>
        <bgColor theme="4"/>
      </patternFill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4" tint="0.39997558519241921"/>
      </left>
      <right style="medium">
        <color rgb="FFFFFFFF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FFFFFF"/>
      </left>
      <right/>
      <top style="medium">
        <color rgb="FFFFFFFF"/>
      </top>
      <bottom style="thin">
        <color theme="4" tint="0.39997558519241921"/>
      </bottom>
      <diagonal/>
    </border>
    <border>
      <left/>
      <right/>
      <top style="medium">
        <color rgb="FFFFFFFF"/>
      </top>
      <bottom style="thin">
        <color theme="4" tint="0.39997558519241921"/>
      </bottom>
      <diagonal/>
    </border>
    <border>
      <left/>
      <right style="medium">
        <color rgb="FFFFFFFF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medium">
        <color rgb="FFFFFFFF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8">
    <xf numFmtId="0" fontId="0" fillId="0" borderId="0"/>
    <xf numFmtId="43" fontId="6" fillId="0" borderId="0" applyFont="0" applyFill="0" applyBorder="0" applyAlignment="0" applyProtection="0"/>
    <xf numFmtId="0" fontId="8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46" fillId="0" borderId="0"/>
  </cellStyleXfs>
  <cellXfs count="386">
    <xf numFmtId="0" fontId="0" fillId="0" borderId="0" xfId="0"/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textRotation="90"/>
    </xf>
    <xf numFmtId="3" fontId="8" fillId="0" borderId="1" xfId="0" applyNumberFormat="1" applyFon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0" fillId="0" borderId="2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" fontId="8" fillId="0" borderId="0" xfId="1" applyNumberFormat="1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3" fontId="0" fillId="2" borderId="13" xfId="0" applyNumberForma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3" fontId="0" fillId="0" borderId="13" xfId="1" applyNumberFormat="1" applyFont="1" applyBorder="1" applyAlignment="1">
      <alignment horizontal="center"/>
    </xf>
    <xf numFmtId="9" fontId="0" fillId="0" borderId="13" xfId="3" applyFont="1" applyBorder="1" applyAlignment="1">
      <alignment horizontal="center" vertical="center"/>
    </xf>
    <xf numFmtId="3" fontId="0" fillId="0" borderId="11" xfId="1" applyNumberFormat="1" applyFont="1" applyBorder="1" applyAlignment="1">
      <alignment horizontal="center"/>
    </xf>
    <xf numFmtId="0" fontId="7" fillId="0" borderId="1" xfId="1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0" fillId="0" borderId="1" xfId="0" applyNumberFormat="1" applyBorder="1" applyAlignment="1" applyProtection="1">
      <alignment vertical="center"/>
      <protection locked="0"/>
    </xf>
    <xf numFmtId="3" fontId="0" fillId="0" borderId="13" xfId="0" applyNumberFormat="1" applyBorder="1" applyAlignment="1" applyProtection="1">
      <alignment vertical="center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0" fillId="0" borderId="13" xfId="0" applyNumberFormat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3" fontId="0" fillId="0" borderId="0" xfId="0" applyNumberFormat="1" applyAlignment="1">
      <alignment vertical="center"/>
    </xf>
    <xf numFmtId="9" fontId="14" fillId="0" borderId="1" xfId="3" applyFont="1" applyBorder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24" fillId="0" borderId="4" xfId="0" applyFont="1" applyBorder="1" applyAlignment="1">
      <alignment horizontal="center" vertical="center"/>
    </xf>
    <xf numFmtId="3" fontId="0" fillId="0" borderId="4" xfId="0" applyNumberFormat="1" applyBorder="1" applyAlignment="1" applyProtection="1">
      <alignment vertical="center"/>
      <protection locked="0"/>
    </xf>
    <xf numFmtId="3" fontId="6" fillId="0" borderId="13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13" xfId="1" applyNumberFormat="1" applyFont="1" applyBorder="1" applyAlignment="1">
      <alignment horizontal="center"/>
    </xf>
    <xf numFmtId="9" fontId="6" fillId="0" borderId="13" xfId="3" applyFont="1" applyBorder="1" applyAlignment="1">
      <alignment horizontal="center" vertical="center"/>
    </xf>
    <xf numFmtId="3" fontId="6" fillId="0" borderId="11" xfId="1" applyNumberFormat="1" applyFont="1" applyBorder="1" applyAlignment="1">
      <alignment horizontal="center"/>
    </xf>
    <xf numFmtId="9" fontId="6" fillId="2" borderId="13" xfId="3" applyFont="1" applyFill="1" applyBorder="1" applyAlignment="1" applyProtection="1">
      <alignment horizontal="center"/>
      <protection locked="0"/>
    </xf>
    <xf numFmtId="0" fontId="6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3" fontId="6" fillId="0" borderId="4" xfId="0" applyNumberFormat="1" applyFont="1" applyBorder="1" applyAlignment="1" applyProtection="1">
      <alignment horizontal="center" vertical="center"/>
      <protection locked="0"/>
    </xf>
    <xf numFmtId="3" fontId="6" fillId="0" borderId="1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168" fontId="0" fillId="0" borderId="20" xfId="0" applyNumberForma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9" fontId="0" fillId="0" borderId="13" xfId="0" applyNumberFormat="1" applyBorder="1" applyAlignment="1" applyProtection="1">
      <alignment vertical="center"/>
      <protection locked="0"/>
    </xf>
    <xf numFmtId="0" fontId="27" fillId="3" borderId="51" xfId="0" applyFont="1" applyFill="1" applyBorder="1" applyAlignment="1">
      <alignment horizontal="center" vertical="center"/>
    </xf>
    <xf numFmtId="0" fontId="27" fillId="3" borderId="52" xfId="0" applyFont="1" applyFill="1" applyBorder="1" applyAlignment="1">
      <alignment horizontal="center" vertical="center"/>
    </xf>
    <xf numFmtId="167" fontId="27" fillId="3" borderId="52" xfId="1" applyNumberFormat="1" applyFont="1" applyFill="1" applyBorder="1" applyAlignment="1">
      <alignment horizontal="center" vertical="center" wrapText="1"/>
    </xf>
    <xf numFmtId="43" fontId="27" fillId="3" borderId="52" xfId="1" applyFont="1" applyFill="1" applyBorder="1" applyAlignment="1">
      <alignment horizontal="center" vertical="center" wrapText="1"/>
    </xf>
    <xf numFmtId="0" fontId="27" fillId="3" borderId="52" xfId="0" applyFont="1" applyFill="1" applyBorder="1" applyAlignment="1">
      <alignment horizontal="center" vertical="center" wrapText="1"/>
    </xf>
    <xf numFmtId="0" fontId="27" fillId="3" borderId="53" xfId="0" applyFont="1" applyFill="1" applyBorder="1" applyAlignment="1">
      <alignment horizontal="center" vertical="center" wrapText="1"/>
    </xf>
    <xf numFmtId="0" fontId="27" fillId="3" borderId="54" xfId="0" applyFont="1" applyFill="1" applyBorder="1" applyAlignment="1">
      <alignment horizontal="center" vertical="center" wrapText="1"/>
    </xf>
    <xf numFmtId="49" fontId="25" fillId="5" borderId="49" xfId="0" applyNumberFormat="1" applyFont="1" applyFill="1" applyBorder="1" applyAlignment="1">
      <alignment horizontal="center" vertical="center"/>
    </xf>
    <xf numFmtId="17" fontId="25" fillId="4" borderId="52" xfId="0" applyNumberFormat="1" applyFont="1" applyFill="1" applyBorder="1" applyAlignment="1">
      <alignment vertical="center"/>
    </xf>
    <xf numFmtId="167" fontId="25" fillId="4" borderId="52" xfId="0" applyNumberFormat="1" applyFont="1" applyFill="1" applyBorder="1" applyAlignment="1">
      <alignment vertical="center"/>
    </xf>
    <xf numFmtId="0" fontId="25" fillId="6" borderId="52" xfId="0" applyFont="1" applyFill="1" applyBorder="1" applyAlignment="1">
      <alignment horizontal="center" vertical="center"/>
    </xf>
    <xf numFmtId="17" fontId="25" fillId="0" borderId="52" xfId="0" applyNumberFormat="1" applyFont="1" applyBorder="1" applyAlignment="1">
      <alignment vertical="center"/>
    </xf>
    <xf numFmtId="167" fontId="25" fillId="0" borderId="52" xfId="0" applyNumberFormat="1" applyFont="1" applyBorder="1" applyAlignment="1">
      <alignment vertical="center"/>
    </xf>
    <xf numFmtId="17" fontId="25" fillId="4" borderId="0" xfId="0" applyNumberFormat="1" applyFont="1" applyFill="1" applyAlignment="1">
      <alignment vertical="center"/>
    </xf>
    <xf numFmtId="49" fontId="25" fillId="5" borderId="57" xfId="0" applyNumberFormat="1" applyFont="1" applyFill="1" applyBorder="1" applyAlignment="1">
      <alignment horizontal="center" vertical="center"/>
    </xf>
    <xf numFmtId="9" fontId="25" fillId="0" borderId="55" xfId="3" applyFont="1" applyBorder="1" applyAlignment="1">
      <alignment horizontal="center" vertical="center"/>
    </xf>
    <xf numFmtId="9" fontId="25" fillId="4" borderId="55" xfId="3" applyFont="1" applyFill="1" applyBorder="1" applyAlignment="1">
      <alignment horizontal="center" vertical="center"/>
    </xf>
    <xf numFmtId="0" fontId="27" fillId="7" borderId="55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9" fontId="0" fillId="2" borderId="13" xfId="3" applyFont="1" applyFill="1" applyBorder="1" applyAlignment="1" applyProtection="1">
      <alignment horizontal="center"/>
      <protection locked="0"/>
    </xf>
    <xf numFmtId="49" fontId="25" fillId="4" borderId="52" xfId="0" applyNumberFormat="1" applyFont="1" applyFill="1" applyBorder="1" applyAlignment="1">
      <alignment horizontal="center" vertical="center"/>
    </xf>
    <xf numFmtId="17" fontId="25" fillId="4" borderId="52" xfId="0" applyNumberFormat="1" applyFont="1" applyFill="1" applyBorder="1" applyAlignment="1">
      <alignment horizontal="center" vertical="center"/>
    </xf>
    <xf numFmtId="49" fontId="25" fillId="0" borderId="49" xfId="0" applyNumberFormat="1" applyFont="1" applyBorder="1" applyAlignment="1">
      <alignment horizontal="center" vertical="center"/>
    </xf>
    <xf numFmtId="9" fontId="19" fillId="0" borderId="0" xfId="3" applyFont="1" applyAlignment="1">
      <alignment horizontal="center"/>
    </xf>
    <xf numFmtId="9" fontId="25" fillId="0" borderId="1" xfId="3" applyFont="1" applyFill="1" applyBorder="1" applyAlignment="1" applyProtection="1">
      <alignment horizontal="center" vertical="center"/>
      <protection locked="0"/>
    </xf>
    <xf numFmtId="167" fontId="25" fillId="0" borderId="1" xfId="1" applyNumberFormat="1" applyFont="1" applyFill="1" applyBorder="1" applyAlignment="1">
      <alignment horizontal="center" vertical="center"/>
    </xf>
    <xf numFmtId="9" fontId="25" fillId="0" borderId="1" xfId="3" applyFont="1" applyFill="1" applyBorder="1" applyAlignment="1">
      <alignment horizontal="center" vertical="center"/>
    </xf>
    <xf numFmtId="167" fontId="25" fillId="0" borderId="2" xfId="1" applyNumberFormat="1" applyFont="1" applyFill="1" applyBorder="1" applyAlignment="1">
      <alignment horizontal="center" vertical="center"/>
    </xf>
    <xf numFmtId="0" fontId="19" fillId="0" borderId="0" xfId="0" applyFont="1"/>
    <xf numFmtId="4" fontId="0" fillId="0" borderId="19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168" fontId="0" fillId="0" borderId="19" xfId="0" applyNumberForma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7" fontId="25" fillId="0" borderId="0" xfId="0" applyNumberFormat="1" applyFont="1"/>
    <xf numFmtId="3" fontId="25" fillId="4" borderId="52" xfId="0" applyNumberFormat="1" applyFont="1" applyFill="1" applyBorder="1" applyAlignment="1">
      <alignment horizontal="center" wrapText="1"/>
    </xf>
    <xf numFmtId="3" fontId="25" fillId="0" borderId="52" xfId="0" applyNumberFormat="1" applyFont="1" applyBorder="1" applyAlignment="1">
      <alignment horizontal="center" wrapText="1"/>
    </xf>
    <xf numFmtId="0" fontId="31" fillId="0" borderId="4" xfId="0" applyFont="1" applyBorder="1" applyAlignment="1">
      <alignment horizontal="center" vertical="center"/>
    </xf>
    <xf numFmtId="3" fontId="0" fillId="0" borderId="0" xfId="0" applyNumberFormat="1" applyAlignment="1" applyProtection="1">
      <alignment horizontal="center" vertical="center"/>
      <protection locked="0"/>
    </xf>
    <xf numFmtId="3" fontId="0" fillId="0" borderId="0" xfId="0" applyNumberFormat="1" applyAlignment="1">
      <alignment horizontal="center" wrapText="1"/>
    </xf>
    <xf numFmtId="3" fontId="6" fillId="0" borderId="0" xfId="0" applyNumberFormat="1" applyFont="1" applyAlignment="1">
      <alignment horizontal="center" vertical="center"/>
    </xf>
    <xf numFmtId="9" fontId="0" fillId="0" borderId="0" xfId="3" applyFont="1" applyFill="1" applyBorder="1" applyAlignment="1" applyProtection="1">
      <alignment horizontal="center"/>
      <protection locked="0"/>
    </xf>
    <xf numFmtId="3" fontId="6" fillId="0" borderId="0" xfId="1" applyNumberFormat="1" applyFont="1" applyFill="1" applyBorder="1" applyAlignment="1">
      <alignment horizontal="center"/>
    </xf>
    <xf numFmtId="9" fontId="6" fillId="0" borderId="0" xfId="3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vertical="center"/>
    </xf>
    <xf numFmtId="3" fontId="8" fillId="0" borderId="0" xfId="1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9" fontId="8" fillId="0" borderId="0" xfId="1" applyNumberFormat="1" applyFont="1" applyFill="1" applyAlignment="1">
      <alignment vertical="center"/>
    </xf>
    <xf numFmtId="9" fontId="8" fillId="0" borderId="0" xfId="3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9" fontId="25" fillId="0" borderId="0" xfId="3" applyFont="1"/>
    <xf numFmtId="167" fontId="25" fillId="0" borderId="1" xfId="0" applyNumberFormat="1" applyFont="1" applyBorder="1" applyAlignment="1">
      <alignment horizontal="center" vertical="center"/>
    </xf>
    <xf numFmtId="167" fontId="25" fillId="0" borderId="2" xfId="0" applyNumberFormat="1" applyFont="1" applyBorder="1" applyAlignment="1">
      <alignment horizontal="center" vertical="center"/>
    </xf>
    <xf numFmtId="9" fontId="25" fillId="0" borderId="0" xfId="3" applyFont="1" applyAlignment="1">
      <alignment horizontal="center"/>
    </xf>
    <xf numFmtId="0" fontId="25" fillId="0" borderId="0" xfId="0" applyFont="1"/>
    <xf numFmtId="0" fontId="35" fillId="9" borderId="0" xfId="7" applyFont="1" applyFill="1"/>
    <xf numFmtId="0" fontId="3" fillId="9" borderId="0" xfId="7" applyFill="1"/>
    <xf numFmtId="0" fontId="3" fillId="0" borderId="0" xfId="7"/>
    <xf numFmtId="164" fontId="7" fillId="10" borderId="24" xfId="7" applyNumberFormat="1" applyFont="1" applyFill="1" applyBorder="1" applyAlignment="1">
      <alignment horizontal="center" vertical="center"/>
    </xf>
    <xf numFmtId="164" fontId="7" fillId="10" borderId="25" xfId="7" applyNumberFormat="1" applyFont="1" applyFill="1" applyBorder="1" applyAlignment="1">
      <alignment horizontal="center" vertical="center"/>
    </xf>
    <xf numFmtId="164" fontId="7" fillId="10" borderId="61" xfId="7" applyNumberFormat="1" applyFont="1" applyFill="1" applyBorder="1" applyAlignment="1">
      <alignment horizontal="right" vertical="center"/>
    </xf>
    <xf numFmtId="0" fontId="33" fillId="11" borderId="62" xfId="7" applyFont="1" applyFill="1" applyBorder="1" applyAlignment="1">
      <alignment horizontal="center" vertical="center"/>
    </xf>
    <xf numFmtId="0" fontId="3" fillId="0" borderId="0" xfId="7" applyAlignment="1">
      <alignment vertical="center"/>
    </xf>
    <xf numFmtId="164" fontId="7" fillId="10" borderId="26" xfId="7" applyNumberFormat="1" applyFont="1" applyFill="1" applyBorder="1" applyAlignment="1">
      <alignment horizontal="center" vertical="center"/>
    </xf>
    <xf numFmtId="164" fontId="7" fillId="10" borderId="27" xfId="7" applyNumberFormat="1" applyFont="1" applyFill="1" applyBorder="1" applyAlignment="1">
      <alignment horizontal="center" vertical="center"/>
    </xf>
    <xf numFmtId="164" fontId="7" fillId="10" borderId="60" xfId="7" applyNumberFormat="1" applyFont="1" applyFill="1" applyBorder="1" applyAlignment="1">
      <alignment horizontal="right" vertical="center"/>
    </xf>
    <xf numFmtId="0" fontId="6" fillId="12" borderId="42" xfId="7" applyFont="1" applyFill="1" applyBorder="1" applyAlignment="1">
      <alignment horizontal="center" vertical="center" wrapText="1"/>
    </xf>
    <xf numFmtId="164" fontId="7" fillId="10" borderId="28" xfId="7" applyNumberFormat="1" applyFont="1" applyFill="1" applyBorder="1" applyAlignment="1">
      <alignment horizontal="center" vertical="center"/>
    </xf>
    <xf numFmtId="164" fontId="7" fillId="10" borderId="29" xfId="7" applyNumberFormat="1" applyFont="1" applyFill="1" applyBorder="1" applyAlignment="1">
      <alignment horizontal="center" vertical="center"/>
    </xf>
    <xf numFmtId="164" fontId="7" fillId="10" borderId="64" xfId="7" applyNumberFormat="1" applyFont="1" applyFill="1" applyBorder="1" applyAlignment="1">
      <alignment horizontal="right" vertical="center"/>
    </xf>
    <xf numFmtId="0" fontId="6" fillId="12" borderId="65" xfId="7" applyFont="1" applyFill="1" applyBorder="1" applyAlignment="1">
      <alignment horizontal="center" vertical="center" wrapText="1"/>
    </xf>
    <xf numFmtId="0" fontId="3" fillId="12" borderId="66" xfId="7" applyFill="1" applyBorder="1" applyAlignment="1">
      <alignment horizontal="center" vertical="center" wrapText="1"/>
    </xf>
    <xf numFmtId="0" fontId="3" fillId="12" borderId="29" xfId="7" applyFill="1" applyBorder="1" applyAlignment="1">
      <alignment horizontal="center" vertical="center" wrapText="1"/>
    </xf>
    <xf numFmtId="0" fontId="6" fillId="12" borderId="67" xfId="7" applyFont="1" applyFill="1" applyBorder="1" applyAlignment="1">
      <alignment horizontal="center" vertical="center" wrapText="1"/>
    </xf>
    <xf numFmtId="164" fontId="7" fillId="0" borderId="14" xfId="7" applyNumberFormat="1" applyFont="1" applyBorder="1" applyAlignment="1">
      <alignment horizontal="center" vertical="center"/>
    </xf>
    <xf numFmtId="164" fontId="7" fillId="0" borderId="10" xfId="7" applyNumberFormat="1" applyFont="1" applyBorder="1" applyAlignment="1">
      <alignment horizontal="center" vertical="center"/>
    </xf>
    <xf numFmtId="164" fontId="7" fillId="0" borderId="15" xfId="7" applyNumberFormat="1" applyFont="1" applyBorder="1" applyAlignment="1">
      <alignment horizontal="center" vertical="center"/>
    </xf>
    <xf numFmtId="164" fontId="7" fillId="0" borderId="59" xfId="7" applyNumberFormat="1" applyFont="1" applyBorder="1" applyAlignment="1">
      <alignment horizontal="right" vertical="center"/>
    </xf>
    <xf numFmtId="0" fontId="3" fillId="0" borderId="68" xfId="7" applyBorder="1" applyAlignment="1">
      <alignment horizontal="center" vertical="center" wrapText="1"/>
    </xf>
    <xf numFmtId="0" fontId="3" fillId="0" borderId="69" xfId="7" applyBorder="1" applyAlignment="1">
      <alignment horizontal="center" vertical="center" wrapText="1"/>
    </xf>
    <xf numFmtId="0" fontId="3" fillId="0" borderId="10" xfId="7" applyBorder="1" applyAlignment="1">
      <alignment horizontal="center" vertical="center" wrapText="1"/>
    </xf>
    <xf numFmtId="0" fontId="3" fillId="0" borderId="70" xfId="7" applyBorder="1" applyAlignment="1">
      <alignment horizontal="center" vertical="center" wrapText="1"/>
    </xf>
    <xf numFmtId="164" fontId="7" fillId="13" borderId="1" xfId="7" applyNumberFormat="1" applyFont="1" applyFill="1" applyBorder="1" applyAlignment="1">
      <alignment horizontal="center" vertical="center"/>
    </xf>
    <xf numFmtId="164" fontId="7" fillId="0" borderId="1" xfId="7" applyNumberFormat="1" applyFont="1" applyBorder="1" applyAlignment="1">
      <alignment horizontal="center" vertical="center"/>
    </xf>
    <xf numFmtId="164" fontId="36" fillId="14" borderId="8" xfId="7" applyNumberFormat="1" applyFont="1" applyFill="1" applyBorder="1" applyAlignment="1">
      <alignment horizontal="right" vertical="center"/>
    </xf>
    <xf numFmtId="0" fontId="17" fillId="14" borderId="42" xfId="7" applyFont="1" applyFill="1" applyBorder="1" applyAlignment="1">
      <alignment horizontal="center" vertical="center"/>
    </xf>
    <xf numFmtId="0" fontId="17" fillId="14" borderId="40" xfId="7" applyFont="1" applyFill="1" applyBorder="1" applyAlignment="1">
      <alignment horizontal="center" vertical="center" wrapText="1"/>
    </xf>
    <xf numFmtId="0" fontId="17" fillId="14" borderId="27" xfId="7" applyFont="1" applyFill="1" applyBorder="1" applyAlignment="1">
      <alignment horizontal="center" vertical="center" wrapText="1"/>
    </xf>
    <xf numFmtId="0" fontId="17" fillId="14" borderId="41" xfId="7" applyFont="1" applyFill="1" applyBorder="1" applyAlignment="1">
      <alignment horizontal="center" vertical="center" wrapText="1"/>
    </xf>
    <xf numFmtId="0" fontId="37" fillId="0" borderId="0" xfId="7" applyFont="1" applyAlignment="1">
      <alignment vertical="center"/>
    </xf>
    <xf numFmtId="164" fontId="3" fillId="13" borderId="1" xfId="7" applyNumberFormat="1" applyFill="1" applyBorder="1" applyAlignment="1">
      <alignment horizontal="center" vertical="center"/>
    </xf>
    <xf numFmtId="164" fontId="3" fillId="0" borderId="1" xfId="7" applyNumberFormat="1" applyBorder="1" applyAlignment="1">
      <alignment horizontal="center" vertical="center"/>
    </xf>
    <xf numFmtId="0" fontId="3" fillId="0" borderId="42" xfId="7" applyBorder="1" applyAlignment="1">
      <alignment horizontal="center" vertical="center"/>
    </xf>
    <xf numFmtId="0" fontId="3" fillId="0" borderId="40" xfId="7" applyBorder="1" applyAlignment="1">
      <alignment horizontal="center" vertical="center"/>
    </xf>
    <xf numFmtId="0" fontId="3" fillId="0" borderId="27" xfId="7" applyBorder="1" applyAlignment="1">
      <alignment horizontal="center" vertical="center"/>
    </xf>
    <xf numFmtId="0" fontId="3" fillId="0" borderId="41" xfId="7" applyBorder="1" applyAlignment="1">
      <alignment horizontal="center" vertical="center"/>
    </xf>
    <xf numFmtId="164" fontId="3" fillId="0" borderId="48" xfId="7" applyNumberFormat="1" applyBorder="1" applyAlignment="1">
      <alignment horizontal="center" vertical="center"/>
    </xf>
    <xf numFmtId="49" fontId="3" fillId="13" borderId="1" xfId="7" applyNumberFormat="1" applyFill="1" applyBorder="1" applyAlignment="1">
      <alignment horizontal="center" vertical="center"/>
    </xf>
    <xf numFmtId="0" fontId="38" fillId="0" borderId="0" xfId="8" applyFont="1"/>
    <xf numFmtId="0" fontId="22" fillId="0" borderId="0" xfId="8" applyFont="1"/>
    <xf numFmtId="0" fontId="22" fillId="15" borderId="30" xfId="8" applyFont="1" applyFill="1" applyBorder="1"/>
    <xf numFmtId="0" fontId="22" fillId="0" borderId="31" xfId="8" applyFont="1" applyBorder="1"/>
    <xf numFmtId="0" fontId="39" fillId="0" borderId="0" xfId="8" applyFont="1"/>
    <xf numFmtId="14" fontId="22" fillId="10" borderId="30" xfId="8" applyNumberFormat="1" applyFont="1" applyFill="1" applyBorder="1" applyAlignment="1">
      <alignment horizontal="center" vertical="center"/>
    </xf>
    <xf numFmtId="0" fontId="22" fillId="10" borderId="36" xfId="8" applyFont="1" applyFill="1" applyBorder="1" applyAlignment="1">
      <alignment horizontal="center" vertical="center" textRotation="90"/>
    </xf>
    <xf numFmtId="164" fontId="40" fillId="10" borderId="61" xfId="8" applyNumberFormat="1" applyFont="1" applyFill="1" applyBorder="1" applyAlignment="1">
      <alignment horizontal="right" vertical="center"/>
    </xf>
    <xf numFmtId="0" fontId="2" fillId="12" borderId="71" xfId="8" applyFill="1" applyBorder="1" applyAlignment="1" applyProtection="1">
      <alignment horizontal="center" vertical="center" textRotation="45"/>
      <protection locked="0"/>
    </xf>
    <xf numFmtId="0" fontId="2" fillId="12" borderId="33" xfId="8" applyFill="1" applyBorder="1" applyAlignment="1" applyProtection="1">
      <alignment horizontal="center" vertical="center" textRotation="45"/>
      <protection locked="0"/>
    </xf>
    <xf numFmtId="0" fontId="2" fillId="12" borderId="33" xfId="8" applyFill="1" applyBorder="1" applyAlignment="1" applyProtection="1">
      <alignment horizontal="center" vertical="center" textRotation="45" wrapText="1"/>
      <protection locked="0"/>
    </xf>
    <xf numFmtId="0" fontId="41" fillId="16" borderId="33" xfId="8" applyFont="1" applyFill="1" applyBorder="1" applyAlignment="1" applyProtection="1">
      <alignment horizontal="center" vertical="center" textRotation="45" wrapText="1"/>
      <protection locked="0"/>
    </xf>
    <xf numFmtId="0" fontId="41" fillId="12" borderId="33" xfId="8" applyFont="1" applyFill="1" applyBorder="1" applyAlignment="1" applyProtection="1">
      <alignment horizontal="center" vertical="center" textRotation="45" wrapText="1"/>
      <protection locked="0"/>
    </xf>
    <xf numFmtId="0" fontId="2" fillId="16" borderId="33" xfId="8" applyFill="1" applyBorder="1" applyAlignment="1" applyProtection="1">
      <alignment horizontal="center" vertical="center" textRotation="45" wrapText="1"/>
      <protection locked="0"/>
    </xf>
    <xf numFmtId="0" fontId="2" fillId="12" borderId="44" xfId="8" applyFill="1" applyBorder="1" applyAlignment="1" applyProtection="1">
      <alignment horizontal="center" vertical="center" textRotation="45"/>
      <protection locked="0"/>
    </xf>
    <xf numFmtId="164" fontId="40" fillId="0" borderId="24" xfId="8" applyNumberFormat="1" applyFont="1" applyBorder="1" applyAlignment="1">
      <alignment horizontal="center" vertical="center"/>
    </xf>
    <xf numFmtId="164" fontId="40" fillId="0" borderId="25" xfId="8" applyNumberFormat="1" applyFont="1" applyBorder="1" applyAlignment="1">
      <alignment horizontal="center" vertical="center"/>
    </xf>
    <xf numFmtId="164" fontId="40" fillId="0" borderId="17" xfId="8" applyNumberFormat="1" applyFont="1" applyBorder="1" applyAlignment="1">
      <alignment horizontal="center" vertical="center"/>
    </xf>
    <xf numFmtId="164" fontId="40" fillId="0" borderId="6" xfId="8" applyNumberFormat="1" applyFont="1" applyBorder="1" applyAlignment="1">
      <alignment horizontal="right" vertical="center"/>
    </xf>
    <xf numFmtId="0" fontId="2" fillId="0" borderId="17" xfId="8" applyBorder="1" applyAlignment="1" applyProtection="1">
      <alignment horizontal="center" vertical="center"/>
      <protection locked="0"/>
    </xf>
    <xf numFmtId="0" fontId="2" fillId="0" borderId="18" xfId="8" applyBorder="1" applyAlignment="1" applyProtection="1">
      <alignment horizontal="center" vertical="center"/>
      <protection locked="0"/>
    </xf>
    <xf numFmtId="0" fontId="2" fillId="0" borderId="6" xfId="8" applyBorder="1" applyAlignment="1" applyProtection="1">
      <alignment horizontal="center" vertical="center"/>
      <protection locked="0"/>
    </xf>
    <xf numFmtId="164" fontId="40" fillId="0" borderId="13" xfId="8" applyNumberFormat="1" applyFont="1" applyBorder="1" applyAlignment="1">
      <alignment horizontal="center" vertical="center"/>
    </xf>
    <xf numFmtId="164" fontId="40" fillId="13" borderId="13" xfId="8" applyNumberFormat="1" applyFont="1" applyFill="1" applyBorder="1" applyAlignment="1">
      <alignment horizontal="center" vertical="center"/>
    </xf>
    <xf numFmtId="164" fontId="43" fillId="17" borderId="8" xfId="8" applyNumberFormat="1" applyFont="1" applyFill="1" applyBorder="1" applyAlignment="1">
      <alignment horizontal="right" vertical="center"/>
    </xf>
    <xf numFmtId="0" fontId="22" fillId="17" borderId="3" xfId="8" applyFont="1" applyFill="1" applyBorder="1" applyAlignment="1">
      <alignment horizontal="center" vertical="center"/>
    </xf>
    <xf numFmtId="0" fontId="22" fillId="17" borderId="1" xfId="8" applyFont="1" applyFill="1" applyBorder="1" applyAlignment="1">
      <alignment horizontal="center" vertical="center"/>
    </xf>
    <xf numFmtId="165" fontId="22" fillId="17" borderId="1" xfId="8" applyNumberFormat="1" applyFont="1" applyFill="1" applyBorder="1" applyAlignment="1">
      <alignment horizontal="center" vertical="center"/>
    </xf>
    <xf numFmtId="49" fontId="22" fillId="17" borderId="1" xfId="8" applyNumberFormat="1" applyFont="1" applyFill="1" applyBorder="1" applyAlignment="1">
      <alignment horizontal="center" vertical="center"/>
    </xf>
    <xf numFmtId="0" fontId="22" fillId="17" borderId="8" xfId="8" applyFont="1" applyFill="1" applyBorder="1" applyAlignment="1">
      <alignment horizontal="center" vertical="center"/>
    </xf>
    <xf numFmtId="164" fontId="40" fillId="0" borderId="4" xfId="8" applyNumberFormat="1" applyFont="1" applyBorder="1" applyAlignment="1">
      <alignment horizontal="center" vertical="center"/>
    </xf>
    <xf numFmtId="164" fontId="40" fillId="13" borderId="4" xfId="8" applyNumberFormat="1" applyFont="1" applyFill="1" applyBorder="1" applyAlignment="1">
      <alignment horizontal="center" vertical="center"/>
    </xf>
    <xf numFmtId="164" fontId="43" fillId="18" borderId="8" xfId="8" applyNumberFormat="1" applyFont="1" applyFill="1" applyBorder="1" applyAlignment="1">
      <alignment horizontal="right" vertical="center"/>
    </xf>
    <xf numFmtId="0" fontId="22" fillId="18" borderId="3" xfId="8" applyFont="1" applyFill="1" applyBorder="1" applyAlignment="1">
      <alignment horizontal="center" vertical="center"/>
    </xf>
    <xf numFmtId="0" fontId="22" fillId="18" borderId="1" xfId="8" applyFont="1" applyFill="1" applyBorder="1" applyAlignment="1">
      <alignment horizontal="center" vertical="center"/>
    </xf>
    <xf numFmtId="170" fontId="22" fillId="18" borderId="1" xfId="8" applyNumberFormat="1" applyFont="1" applyFill="1" applyBorder="1" applyAlignment="1">
      <alignment horizontal="center" vertical="center"/>
    </xf>
    <xf numFmtId="0" fontId="22" fillId="18" borderId="8" xfId="8" applyFont="1" applyFill="1" applyBorder="1" applyAlignment="1">
      <alignment horizontal="center" vertical="center"/>
    </xf>
    <xf numFmtId="164" fontId="44" fillId="0" borderId="7" xfId="8" applyNumberFormat="1" applyFont="1" applyBorder="1" applyAlignment="1">
      <alignment horizontal="center" vertical="center"/>
    </xf>
    <xf numFmtId="164" fontId="44" fillId="0" borderId="1" xfId="8" applyNumberFormat="1" applyFont="1" applyBorder="1" applyAlignment="1">
      <alignment horizontal="center" vertical="center"/>
    </xf>
    <xf numFmtId="164" fontId="45" fillId="0" borderId="48" xfId="8" applyNumberFormat="1" applyFont="1" applyBorder="1" applyAlignment="1">
      <alignment horizontal="right" vertical="center"/>
    </xf>
    <xf numFmtId="0" fontId="22" fillId="0" borderId="3" xfId="8" applyFont="1" applyBorder="1" applyAlignment="1">
      <alignment horizontal="center" vertical="center"/>
    </xf>
    <xf numFmtId="0" fontId="22" fillId="0" borderId="1" xfId="8" applyFont="1" applyBorder="1" applyAlignment="1">
      <alignment horizontal="center" vertical="center"/>
    </xf>
    <xf numFmtId="2" fontId="22" fillId="0" borderId="1" xfId="8" applyNumberFormat="1" applyFont="1" applyBorder="1" applyAlignment="1">
      <alignment horizontal="center" vertical="center"/>
    </xf>
    <xf numFmtId="170" fontId="22" fillId="0" borderId="1" xfId="8" applyNumberFormat="1" applyFont="1" applyBorder="1" applyAlignment="1">
      <alignment horizontal="center" vertical="center"/>
    </xf>
    <xf numFmtId="0" fontId="22" fillId="0" borderId="8" xfId="8" applyFont="1" applyBorder="1" applyAlignment="1">
      <alignment horizontal="center" vertical="center"/>
    </xf>
    <xf numFmtId="164" fontId="45" fillId="0" borderId="72" xfId="8" applyNumberFormat="1" applyFont="1" applyBorder="1" applyAlignment="1">
      <alignment horizontal="right" vertical="center"/>
    </xf>
    <xf numFmtId="164" fontId="40" fillId="13" borderId="73" xfId="8" applyNumberFormat="1" applyFont="1" applyFill="1" applyBorder="1" applyAlignment="1">
      <alignment horizontal="center" vertical="center"/>
    </xf>
    <xf numFmtId="164" fontId="44" fillId="13" borderId="74" xfId="8" applyNumberFormat="1" applyFont="1" applyFill="1" applyBorder="1" applyAlignment="1">
      <alignment horizontal="center" vertical="center"/>
    </xf>
    <xf numFmtId="164" fontId="45" fillId="13" borderId="75" xfId="8" applyNumberFormat="1" applyFont="1" applyFill="1" applyBorder="1" applyAlignment="1">
      <alignment horizontal="right" vertical="center"/>
    </xf>
    <xf numFmtId="0" fontId="22" fillId="13" borderId="76" xfId="8" applyFont="1" applyFill="1" applyBorder="1" applyAlignment="1">
      <alignment horizontal="center" vertical="center"/>
    </xf>
    <xf numFmtId="170" fontId="22" fillId="13" borderId="76" xfId="8" applyNumberFormat="1" applyFont="1" applyFill="1" applyBorder="1" applyAlignment="1">
      <alignment horizontal="center" vertical="center"/>
    </xf>
    <xf numFmtId="170" fontId="22" fillId="0" borderId="76" xfId="8" applyNumberFormat="1" applyFont="1" applyBorder="1" applyAlignment="1">
      <alignment horizontal="center" vertical="center"/>
    </xf>
    <xf numFmtId="2" fontId="22" fillId="13" borderId="76" xfId="8" applyNumberFormat="1" applyFont="1" applyFill="1" applyBorder="1" applyAlignment="1">
      <alignment horizontal="center" vertical="center"/>
    </xf>
    <xf numFmtId="170" fontId="22" fillId="13" borderId="75" xfId="8" applyNumberFormat="1" applyFont="1" applyFill="1" applyBorder="1" applyAlignment="1">
      <alignment horizontal="center" vertical="center"/>
    </xf>
    <xf numFmtId="164" fontId="40" fillId="0" borderId="7" xfId="8" applyNumberFormat="1" applyFont="1" applyBorder="1" applyAlignment="1">
      <alignment horizontal="center" vertical="center"/>
    </xf>
    <xf numFmtId="164" fontId="40" fillId="0" borderId="1" xfId="8" applyNumberFormat="1" applyFont="1" applyBorder="1" applyAlignment="1">
      <alignment horizontal="center" vertical="center"/>
    </xf>
    <xf numFmtId="164" fontId="43" fillId="0" borderId="77" xfId="8" applyNumberFormat="1" applyFont="1" applyBorder="1" applyAlignment="1">
      <alignment horizontal="right" vertical="center"/>
    </xf>
    <xf numFmtId="0" fontId="22" fillId="15" borderId="1" xfId="8" applyFont="1" applyFill="1" applyBorder="1" applyAlignment="1">
      <alignment horizontal="center" vertical="center"/>
    </xf>
    <xf numFmtId="166" fontId="22" fillId="0" borderId="1" xfId="8" applyNumberFormat="1" applyFont="1" applyBorder="1" applyAlignment="1">
      <alignment horizontal="center" vertical="center"/>
    </xf>
    <xf numFmtId="166" fontId="22" fillId="13" borderId="76" xfId="8" applyNumberFormat="1" applyFont="1" applyFill="1" applyBorder="1" applyAlignment="1">
      <alignment horizontal="center" vertical="center"/>
    </xf>
    <xf numFmtId="0" fontId="22" fillId="0" borderId="76" xfId="8" applyFont="1" applyBorder="1" applyAlignment="1">
      <alignment horizontal="center" vertical="center"/>
    </xf>
    <xf numFmtId="2" fontId="22" fillId="15" borderId="1" xfId="8" applyNumberFormat="1" applyFont="1" applyFill="1" applyBorder="1" applyAlignment="1">
      <alignment horizontal="center" vertical="center"/>
    </xf>
    <xf numFmtId="171" fontId="22" fillId="13" borderId="76" xfId="8" applyNumberFormat="1" applyFont="1" applyFill="1" applyBorder="1" applyAlignment="1">
      <alignment horizontal="center" vertical="center"/>
    </xf>
    <xf numFmtId="171" fontId="22" fillId="0" borderId="76" xfId="8" applyNumberFormat="1" applyFont="1" applyBorder="1" applyAlignment="1">
      <alignment horizontal="center" vertical="center"/>
    </xf>
    <xf numFmtId="171" fontId="22" fillId="13" borderId="75" xfId="8" applyNumberFormat="1" applyFont="1" applyFill="1" applyBorder="1" applyAlignment="1">
      <alignment horizontal="center" vertical="center"/>
    </xf>
    <xf numFmtId="0" fontId="2" fillId="0" borderId="0" xfId="8" applyAlignment="1">
      <alignment horizontal="center" vertical="center"/>
    </xf>
    <xf numFmtId="49" fontId="22" fillId="0" borderId="1" xfId="8" applyNumberFormat="1" applyFont="1" applyBorder="1" applyAlignment="1">
      <alignment horizontal="center" vertical="center"/>
    </xf>
    <xf numFmtId="0" fontId="2" fillId="0" borderId="0" xfId="9" applyAlignment="1">
      <alignment horizontal="center" vertical="center"/>
    </xf>
    <xf numFmtId="0" fontId="2" fillId="0" borderId="0" xfId="9" applyAlignment="1">
      <alignment horizontal="left" vertical="center"/>
    </xf>
    <xf numFmtId="3" fontId="2" fillId="0" borderId="1" xfId="9" applyNumberFormat="1" applyBorder="1" applyAlignment="1">
      <alignment horizontal="center" vertical="center"/>
    </xf>
    <xf numFmtId="3" fontId="22" fillId="0" borderId="2" xfId="9" applyNumberFormat="1" applyFont="1" applyBorder="1" applyAlignment="1">
      <alignment horizontal="center" vertical="center" wrapText="1"/>
    </xf>
    <xf numFmtId="3" fontId="22" fillId="0" borderId="1" xfId="9" applyNumberFormat="1" applyFont="1" applyBorder="1" applyAlignment="1">
      <alignment horizontal="center" vertical="center" wrapText="1"/>
    </xf>
    <xf numFmtId="10" fontId="22" fillId="0" borderId="1" xfId="9" applyNumberFormat="1" applyFont="1" applyBorder="1" applyAlignment="1">
      <alignment horizontal="center" vertical="center" wrapText="1"/>
    </xf>
    <xf numFmtId="0" fontId="2" fillId="0" borderId="12" xfId="9" applyBorder="1" applyAlignment="1">
      <alignment horizontal="center" vertical="center"/>
    </xf>
    <xf numFmtId="0" fontId="2" fillId="0" borderId="3" xfId="9" applyBorder="1" applyAlignment="1">
      <alignment horizontal="center" vertical="center"/>
    </xf>
    <xf numFmtId="0" fontId="2" fillId="0" borderId="0" xfId="9"/>
    <xf numFmtId="0" fontId="21" fillId="0" borderId="4" xfId="9" applyFont="1" applyBorder="1" applyAlignment="1">
      <alignment horizontal="center" vertical="center" wrapText="1"/>
    </xf>
    <xf numFmtId="0" fontId="21" fillId="0" borderId="14" xfId="9" applyFont="1" applyBorder="1" applyAlignment="1">
      <alignment horizontal="center" vertical="center" wrapText="1"/>
    </xf>
    <xf numFmtId="0" fontId="20" fillId="3" borderId="4" xfId="9" applyFont="1" applyFill="1" applyBorder="1" applyAlignment="1">
      <alignment horizontal="center" vertical="center" wrapText="1"/>
    </xf>
    <xf numFmtId="0" fontId="21" fillId="0" borderId="15" xfId="9" applyFont="1" applyBorder="1" applyAlignment="1">
      <alignment horizontal="center" vertical="center"/>
    </xf>
    <xf numFmtId="49" fontId="9" fillId="0" borderId="0" xfId="10" applyNumberFormat="1" applyFont="1" applyAlignment="1" applyProtection="1">
      <alignment horizontal="center" vertical="center" wrapText="1"/>
      <protection locked="0"/>
    </xf>
    <xf numFmtId="172" fontId="6" fillId="0" borderId="0" xfId="9" applyNumberFormat="1" applyFont="1" applyAlignment="1">
      <alignment horizontal="center" vertical="center"/>
    </xf>
    <xf numFmtId="0" fontId="6" fillId="0" borderId="0" xfId="9" applyFont="1" applyAlignment="1">
      <alignment horizontal="center" vertical="center"/>
    </xf>
    <xf numFmtId="0" fontId="6" fillId="0" borderId="0" xfId="9" applyFont="1" applyAlignment="1">
      <alignment horizontal="left" vertical="center"/>
    </xf>
    <xf numFmtId="0" fontId="32" fillId="0" borderId="0" xfId="9" applyFont="1" applyAlignment="1">
      <alignment horizontal="left" vertical="center"/>
    </xf>
    <xf numFmtId="167" fontId="6" fillId="0" borderId="0" xfId="9" applyNumberFormat="1" applyFont="1" applyAlignment="1">
      <alignment horizontal="center" vertical="center"/>
    </xf>
    <xf numFmtId="0" fontId="6" fillId="0" borderId="0" xfId="9" applyFont="1" applyAlignment="1">
      <alignment vertical="center"/>
    </xf>
    <xf numFmtId="167" fontId="22" fillId="0" borderId="0" xfId="11" applyNumberFormat="1" applyFont="1" applyAlignment="1">
      <alignment vertical="center"/>
    </xf>
    <xf numFmtId="0" fontId="22" fillId="0" borderId="0" xfId="9" applyFont="1" applyAlignment="1">
      <alignment horizontal="center" vertical="center"/>
    </xf>
    <xf numFmtId="0" fontId="22" fillId="0" borderId="0" xfId="9" applyFont="1" applyAlignment="1">
      <alignment horizontal="left" vertical="center"/>
    </xf>
    <xf numFmtId="167" fontId="22" fillId="0" borderId="0" xfId="11" applyNumberFormat="1" applyFont="1" applyAlignment="1">
      <alignment horizontal="center" vertical="center"/>
    </xf>
    <xf numFmtId="167" fontId="2" fillId="0" borderId="0" xfId="11" applyNumberFormat="1" applyFont="1" applyAlignment="1">
      <alignment horizontal="center" vertical="center"/>
    </xf>
    <xf numFmtId="0" fontId="22" fillId="0" borderId="0" xfId="9" applyFont="1" applyAlignment="1">
      <alignment horizontal="left" vertical="center" wrapText="1"/>
    </xf>
    <xf numFmtId="0" fontId="0" fillId="0" borderId="0" xfId="9" applyFont="1" applyAlignment="1">
      <alignment horizontal="center" vertical="center"/>
    </xf>
    <xf numFmtId="0" fontId="22" fillId="0" borderId="0" xfId="12" applyFont="1" applyAlignment="1">
      <alignment horizontal="center" vertical="center"/>
    </xf>
    <xf numFmtId="0" fontId="22" fillId="0" borderId="0" xfId="12" applyFont="1" applyAlignment="1">
      <alignment horizontal="left" vertical="center"/>
    </xf>
    <xf numFmtId="0" fontId="22" fillId="0" borderId="0" xfId="12" applyFont="1" applyAlignment="1">
      <alignment horizontal="left" vertical="center" wrapText="1"/>
    </xf>
    <xf numFmtId="167" fontId="22" fillId="0" borderId="0" xfId="11" applyNumberFormat="1" applyFont="1" applyFill="1" applyAlignment="1">
      <alignment horizontal="center" vertical="center"/>
    </xf>
    <xf numFmtId="173" fontId="22" fillId="0" borderId="0" xfId="11" applyNumberFormat="1" applyFont="1" applyAlignment="1">
      <alignment horizontal="center" vertical="center"/>
    </xf>
    <xf numFmtId="0" fontId="21" fillId="0" borderId="0" xfId="9" applyFont="1" applyAlignment="1">
      <alignment horizontal="center" vertical="center"/>
    </xf>
    <xf numFmtId="0" fontId="21" fillId="0" borderId="0" xfId="12" applyFont="1" applyAlignment="1">
      <alignment horizontal="center" vertical="center" wrapText="1"/>
    </xf>
    <xf numFmtId="0" fontId="21" fillId="0" borderId="0" xfId="12" applyFont="1" applyAlignment="1">
      <alignment horizontal="center" vertical="center"/>
    </xf>
    <xf numFmtId="0" fontId="21" fillId="0" borderId="0" xfId="12" applyFont="1" applyAlignment="1">
      <alignment horizontal="left" vertical="center"/>
    </xf>
    <xf numFmtId="0" fontId="21" fillId="0" borderId="0" xfId="12" applyFont="1" applyAlignment="1">
      <alignment vertical="center"/>
    </xf>
    <xf numFmtId="0" fontId="38" fillId="0" borderId="0" xfId="9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167" fontId="22" fillId="0" borderId="0" xfId="0" applyNumberFormat="1" applyFont="1" applyAlignment="1">
      <alignment horizontal="center" vertical="center"/>
    </xf>
    <xf numFmtId="167" fontId="22" fillId="0" borderId="0" xfId="0" applyNumberFormat="1" applyFont="1" applyAlignment="1">
      <alignment vertical="center"/>
    </xf>
    <xf numFmtId="0" fontId="2" fillId="0" borderId="0" xfId="9" applyAlignment="1">
      <alignment horizontal="left" vertical="center" wrapText="1"/>
    </xf>
    <xf numFmtId="3" fontId="8" fillId="0" borderId="2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10" fontId="0" fillId="0" borderId="20" xfId="0" applyNumberFormat="1" applyBorder="1" applyAlignment="1">
      <alignment horizontal="center" vertical="center"/>
    </xf>
    <xf numFmtId="0" fontId="7" fillId="0" borderId="50" xfId="0" applyFont="1" applyBorder="1" applyAlignment="1">
      <alignment vertical="center" wrapText="1"/>
    </xf>
    <xf numFmtId="0" fontId="46" fillId="0" borderId="0" xfId="37"/>
    <xf numFmtId="0" fontId="46" fillId="0" borderId="0" xfId="37" applyAlignment="1">
      <alignment horizontal="center" vertical="center" wrapText="1"/>
    </xf>
    <xf numFmtId="0" fontId="38" fillId="0" borderId="0" xfId="37" applyFont="1" applyAlignment="1">
      <alignment vertical="center" wrapText="1"/>
    </xf>
    <xf numFmtId="0" fontId="46" fillId="0" borderId="0" xfId="37" applyAlignment="1">
      <alignment horizontal="center" vertical="center"/>
    </xf>
    <xf numFmtId="0" fontId="46" fillId="0" borderId="0" xfId="37" applyAlignment="1">
      <alignment horizontal="left" vertical="center"/>
    </xf>
    <xf numFmtId="9" fontId="0" fillId="0" borderId="13" xfId="3" applyFont="1" applyFill="1" applyBorder="1" applyAlignment="1" applyProtection="1">
      <alignment horizontal="center"/>
      <protection locked="0"/>
    </xf>
    <xf numFmtId="3" fontId="6" fillId="0" borderId="13" xfId="1" applyNumberFormat="1" applyFont="1" applyFill="1" applyBorder="1" applyAlignment="1">
      <alignment horizontal="center"/>
    </xf>
    <xf numFmtId="9" fontId="0" fillId="0" borderId="13" xfId="3" applyFont="1" applyFill="1" applyBorder="1" applyAlignment="1">
      <alignment horizontal="center" vertical="center"/>
    </xf>
    <xf numFmtId="3" fontId="6" fillId="0" borderId="11" xfId="1" applyNumberFormat="1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9" fontId="0" fillId="0" borderId="0" xfId="0" applyNumberFormat="1" applyAlignment="1">
      <alignment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0" fillId="8" borderId="58" xfId="0" applyFont="1" applyFill="1" applyBorder="1" applyAlignment="1">
      <alignment horizontal="center" vertical="center" wrapText="1"/>
    </xf>
    <xf numFmtId="0" fontId="30" fillId="8" borderId="3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9" fillId="8" borderId="58" xfId="0" applyFont="1" applyFill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6" fillId="12" borderId="7" xfId="7" applyFont="1" applyFill="1" applyBorder="1" applyAlignment="1">
      <alignment horizontal="center" vertical="center" wrapText="1"/>
    </xf>
    <xf numFmtId="0" fontId="6" fillId="12" borderId="27" xfId="7" applyFont="1" applyFill="1" applyBorder="1" applyAlignment="1">
      <alignment horizontal="center" vertical="center" wrapText="1"/>
    </xf>
    <xf numFmtId="0" fontId="3" fillId="12" borderId="8" xfId="7" applyFill="1" applyBorder="1" applyAlignment="1">
      <alignment horizontal="center" vertical="center" wrapText="1"/>
    </xf>
    <xf numFmtId="0" fontId="33" fillId="11" borderId="34" xfId="7" applyFont="1" applyFill="1" applyBorder="1" applyAlignment="1">
      <alignment horizontal="center" vertical="center"/>
    </xf>
    <xf numFmtId="0" fontId="33" fillId="11" borderId="32" xfId="7" applyFont="1" applyFill="1" applyBorder="1" applyAlignment="1">
      <alignment horizontal="center" vertical="center"/>
    </xf>
    <xf numFmtId="0" fontId="33" fillId="11" borderId="63" xfId="7" applyFont="1" applyFill="1" applyBorder="1" applyAlignment="1">
      <alignment horizontal="center" vertical="center"/>
    </xf>
    <xf numFmtId="164" fontId="40" fillId="13" borderId="45" xfId="8" applyNumberFormat="1" applyFont="1" applyFill="1" applyBorder="1" applyAlignment="1">
      <alignment horizontal="center" vertical="center" wrapText="1"/>
    </xf>
    <xf numFmtId="164" fontId="40" fillId="13" borderId="46" xfId="8" applyNumberFormat="1" applyFont="1" applyFill="1" applyBorder="1" applyAlignment="1">
      <alignment horizontal="center" vertical="center" wrapText="1"/>
    </xf>
    <xf numFmtId="0" fontId="38" fillId="0" borderId="0" xfId="37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7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0" fillId="0" borderId="0" xfId="0" applyNumberFormat="1"/>
  </cellXfs>
  <cellStyles count="38">
    <cellStyle name="Migliaia" xfId="1" builtinId="3"/>
    <cellStyle name="Migliaia 2" xfId="5" xr:uid="{00000000-0005-0000-0000-000001000000}"/>
    <cellStyle name="Migliaia 2 2" xfId="21" xr:uid="{74F808B7-C67D-4AE5-BBB5-CACE0834A5B5}"/>
    <cellStyle name="Migliaia 2 2 2" xfId="29" xr:uid="{94968926-C7AE-4A27-B2AB-85A540F7339E}"/>
    <cellStyle name="Migliaia 2 3" xfId="23" xr:uid="{2A646109-BE4F-4B6E-B7F4-DC28BD8E1FD6}"/>
    <cellStyle name="Migliaia 2 3 2" xfId="31" xr:uid="{6DBDA30F-5E9F-456D-AD8F-67757371DA70}"/>
    <cellStyle name="Migliaia 2 4" xfId="19" xr:uid="{94674D4D-204A-476C-983E-DB4C2993C577}"/>
    <cellStyle name="Migliaia 2 4 2" xfId="27" xr:uid="{7775B799-A4BD-4ADE-B027-F5C8BEB31913}"/>
    <cellStyle name="Migliaia 2 5" xfId="25" xr:uid="{F3B4593B-11ED-44B9-AC67-A1E0B05FE6E8}"/>
    <cellStyle name="Migliaia 2 6" xfId="35" xr:uid="{DBC657E8-FD63-457F-ADAA-374B20FAE0C1}"/>
    <cellStyle name="Migliaia 2 7" xfId="17" xr:uid="{373CD250-C270-4253-B6CC-2B647BC7511E}"/>
    <cellStyle name="Migliaia 3" xfId="11" xr:uid="{05166DE9-ADB2-4115-AAFB-CAEE0A078C50}"/>
    <cellStyle name="Migliaia 3 2" xfId="28" xr:uid="{556A6426-435E-4360-B638-86A168845A6F}"/>
    <cellStyle name="Migliaia 3 3" xfId="20" xr:uid="{D70F1CEE-AB2A-4EFD-83BF-C7A9C8454030}"/>
    <cellStyle name="Migliaia 4" xfId="22" xr:uid="{78A883DF-4348-461B-B25D-280782B47EC3}"/>
    <cellStyle name="Migliaia 4 2" xfId="30" xr:uid="{05FBE54C-5019-48D8-9206-AAA7F6F1AA0D}"/>
    <cellStyle name="Migliaia 5" xfId="18" xr:uid="{A8260489-AD3D-4A3A-BA62-273354BC881A}"/>
    <cellStyle name="Migliaia 5 2" xfId="26" xr:uid="{3D039AF7-0720-4D80-B308-FA72D6FDE1CD}"/>
    <cellStyle name="Migliaia 6" xfId="24" xr:uid="{63D24C4B-224D-480C-A1E1-00EED70B4DFC}"/>
    <cellStyle name="Migliaia 7" xfId="34" xr:uid="{053DC8CE-6AF3-40AF-909E-58B26E2920B5}"/>
    <cellStyle name="Migliaia 8" xfId="15" xr:uid="{109C6C98-DF78-4687-8E39-E4D731BE1256}"/>
    <cellStyle name="Normale" xfId="0" builtinId="0"/>
    <cellStyle name="Normale 2" xfId="2" xr:uid="{00000000-0005-0000-0000-000003000000}"/>
    <cellStyle name="Normale 2 2" xfId="10" xr:uid="{06DDC136-90CB-4A41-9CE2-7BEE2B96554C}"/>
    <cellStyle name="Normale 3" xfId="4" xr:uid="{00000000-0005-0000-0000-000004000000}"/>
    <cellStyle name="Normale 3 2" xfId="6" xr:uid="{DF16FD96-B83C-49BD-8B7E-A1C2D2AE7E27}"/>
    <cellStyle name="Normale 3 2 2" xfId="9" xr:uid="{C98CA3BC-1C37-4E2C-86F0-2818972C9B0E}"/>
    <cellStyle name="Normale 3 2 3" xfId="16" xr:uid="{AA6E26EC-E4B0-49A2-AD6F-67989125517C}"/>
    <cellStyle name="Normale 3 3" xfId="12" xr:uid="{4C979702-EA9F-43EA-9BF9-403EFCFC0537}"/>
    <cellStyle name="Normale 4" xfId="7" xr:uid="{4AEEC2CF-61D5-452A-9F37-FFDD2A239D96}"/>
    <cellStyle name="Normale 4 2" xfId="32" xr:uid="{A6CE7EC7-347B-48F2-AEE5-4CD8C17621F3}"/>
    <cellStyle name="Normale 5" xfId="8" xr:uid="{9E1692FE-09F0-4F27-BD61-2A62E0C98455}"/>
    <cellStyle name="Normale 5 2" xfId="36" xr:uid="{02E766B4-5D42-4724-969E-A4F81C2BE290}"/>
    <cellStyle name="Normale 6" xfId="37" xr:uid="{9D74AEDD-C8B4-4E01-8FAA-53B458B60E6A}"/>
    <cellStyle name="Normale 7" xfId="13" xr:uid="{95445539-6D83-4EB2-B5DA-8CB5FF56C07C}"/>
    <cellStyle name="Percentuale" xfId="3" builtinId="5"/>
    <cellStyle name="Percentuale 2" xfId="33" xr:uid="{D947994D-A579-4A16-BBB3-2006CBD49ED2}"/>
    <cellStyle name="Percentuale 3" xfId="14" xr:uid="{3DECD24F-B0A1-4950-A42C-5DD431D806F7}"/>
  </cellStyles>
  <dxfs count="229"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3" formatCode="#,##0"/>
      <alignment horizontal="center" vertical="center" textRotation="0" wrapText="0" indent="0" justifyLastLine="0" shrinkToFit="0" readingOrder="0"/>
    </dxf>
    <dxf>
      <numFmt numFmtId="174" formatCode="#,##0.0000"/>
      <alignment horizontal="center" vertical="center" textRotation="0" wrapText="0" indent="0" justifyLastLine="0" shrinkToFit="0" readingOrder="0"/>
    </dxf>
    <dxf>
      <numFmt numFmtId="174" formatCode="#,##0.00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" formatCode="#,##0"/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_-* #,##0_-;\-* #,##0_-;_-* &quot;-&quot;??_-;_-@_-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_-* #,##0_-;\-* #,##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7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7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7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alignment vertical="center" textRotation="0" wrapText="0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" formatCode="#,##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" formatCode="#,##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" formatCode="#,##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PRODOTTI</a:t>
            </a:r>
          </a:p>
        </c:rich>
      </c:tx>
      <c:layout>
        <c:manualLayout>
          <c:xMode val="edge"/>
          <c:yMode val="edge"/>
          <c:x val="0.89164556962025321"/>
          <c:y val="3.571428571428573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97751621877716"/>
          <c:y val="9.4047619047619047E-2"/>
          <c:w val="0.85229012463407472"/>
          <c:h val="0.666667791526059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Produzione!$B$2</c:f>
              <c:strCache>
                <c:ptCount val="1"/>
                <c:pt idx="0">
                  <c:v>Trattamento irrestringibile</c:v>
                </c:pt>
              </c:strCache>
            </c:strRef>
          </c:tx>
          <c:invertIfNegative val="0"/>
          <c:cat>
            <c:numRef>
              <c:f>Produzione!$A$3:$A$7</c:f>
              <c:numCache>
                <c:formatCode>General</c:formatCode>
                <c:ptCount val="5"/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Produzione!$B$3:$B$7</c:f>
              <c:numCache>
                <c:formatCode>#,##0</c:formatCode>
                <c:ptCount val="5"/>
                <c:pt idx="0" formatCode="General">
                  <c:v>0</c:v>
                </c:pt>
                <c:pt idx="1">
                  <c:v>3626178</c:v>
                </c:pt>
                <c:pt idx="2">
                  <c:v>2802252</c:v>
                </c:pt>
                <c:pt idx="3">
                  <c:v>2583506</c:v>
                </c:pt>
                <c:pt idx="4">
                  <c:v>2863066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6-46B0-B300-B2CD2644183C}"/>
            </c:ext>
          </c:extLst>
        </c:ser>
        <c:ser>
          <c:idx val="1"/>
          <c:order val="1"/>
          <c:tx>
            <c:strRef>
              <c:f>Produzione!$C$2</c:f>
              <c:strCache>
                <c:ptCount val="1"/>
                <c:pt idx="0">
                  <c:v>Tintoria tops e stampa</c:v>
                </c:pt>
              </c:strCache>
            </c:strRef>
          </c:tx>
          <c:invertIfNegative val="0"/>
          <c:cat>
            <c:numRef>
              <c:f>Produzione!$A$3:$A$7</c:f>
              <c:numCache>
                <c:formatCode>General</c:formatCode>
                <c:ptCount val="5"/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Produzione!$C$3:$C$7</c:f>
              <c:numCache>
                <c:formatCode>#,##0</c:formatCode>
                <c:ptCount val="5"/>
                <c:pt idx="0" formatCode="General">
                  <c:v>0</c:v>
                </c:pt>
                <c:pt idx="1">
                  <c:v>3062326</c:v>
                </c:pt>
                <c:pt idx="2">
                  <c:v>2736021</c:v>
                </c:pt>
                <c:pt idx="3">
                  <c:v>2569265</c:v>
                </c:pt>
                <c:pt idx="4">
                  <c:v>2504693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06-46B0-B300-B2CD2644183C}"/>
            </c:ext>
          </c:extLst>
        </c:ser>
        <c:ser>
          <c:idx val="4"/>
          <c:order val="2"/>
          <c:tx>
            <c:strRef>
              <c:f>Produzione!$D$2</c:f>
              <c:strCache>
                <c:ptCount val="1"/>
                <c:pt idx="0">
                  <c:v>Tintoria Rocche</c:v>
                </c:pt>
              </c:strCache>
            </c:strRef>
          </c:tx>
          <c:invertIfNegative val="0"/>
          <c:cat>
            <c:numRef>
              <c:f>Produzione!$A$3:$A$7</c:f>
              <c:numCache>
                <c:formatCode>General</c:formatCode>
                <c:ptCount val="5"/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Produzione!$D$3:$D$7</c:f>
              <c:numCache>
                <c:formatCode>#,##0</c:formatCode>
                <c:ptCount val="5"/>
                <c:pt idx="0" formatCode="General">
                  <c:v>0</c:v>
                </c:pt>
                <c:pt idx="1">
                  <c:v>1712108</c:v>
                </c:pt>
                <c:pt idx="2">
                  <c:v>1511733</c:v>
                </c:pt>
                <c:pt idx="3">
                  <c:v>1416465</c:v>
                </c:pt>
                <c:pt idx="4">
                  <c:v>1349406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06-46B0-B300-B2CD2644183C}"/>
            </c:ext>
          </c:extLst>
        </c:ser>
        <c:ser>
          <c:idx val="3"/>
          <c:order val="3"/>
          <c:tx>
            <c:strRef>
              <c:f>Produzione!$E$2</c:f>
              <c:strCache>
                <c:ptCount val="1"/>
                <c:pt idx="0">
                  <c:v>Tintoria Matasse</c:v>
                </c:pt>
              </c:strCache>
            </c:strRef>
          </c:tx>
          <c:invertIfNegative val="0"/>
          <c:cat>
            <c:numRef>
              <c:f>Produzione!$A$3:$A$7</c:f>
              <c:numCache>
                <c:formatCode>General</c:formatCode>
                <c:ptCount val="5"/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Produzione!$E$3:$E$7</c:f>
              <c:numCache>
                <c:formatCode>#,##0</c:formatCode>
                <c:ptCount val="5"/>
                <c:pt idx="0" formatCode="General">
                  <c:v>0</c:v>
                </c:pt>
                <c:pt idx="1">
                  <c:v>574496</c:v>
                </c:pt>
                <c:pt idx="2">
                  <c:v>567620</c:v>
                </c:pt>
                <c:pt idx="3">
                  <c:v>487904</c:v>
                </c:pt>
                <c:pt idx="4">
                  <c:v>508445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06-46B0-B300-B2CD2644183C}"/>
            </c:ext>
          </c:extLst>
        </c:ser>
        <c:ser>
          <c:idx val="2"/>
          <c:order val="4"/>
          <c:tx>
            <c:strRef>
              <c:f>Produzione!$F$2</c:f>
              <c:strCache>
                <c:ptCount val="1"/>
                <c:pt idx="0">
                  <c:v>Tot .prodotto tinto</c:v>
                </c:pt>
              </c:strCache>
            </c:strRef>
          </c:tx>
          <c:invertIfNegative val="0"/>
          <c:cat>
            <c:numRef>
              <c:f>Produzione!$A$3:$A$7</c:f>
              <c:numCache>
                <c:formatCode>General</c:formatCode>
                <c:ptCount val="5"/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Produzione!$F$3:$F$7</c:f>
              <c:numCache>
                <c:formatCode>#,##0</c:formatCode>
                <c:ptCount val="5"/>
                <c:pt idx="0" formatCode="General">
                  <c:v>0</c:v>
                </c:pt>
                <c:pt idx="1">
                  <c:v>5348930</c:v>
                </c:pt>
                <c:pt idx="2">
                  <c:v>4815374</c:v>
                </c:pt>
                <c:pt idx="3">
                  <c:v>4473634</c:v>
                </c:pt>
                <c:pt idx="4">
                  <c:v>4362544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06-46B0-B300-B2CD26441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047552"/>
        <c:axId val="145049088"/>
      </c:barChart>
      <c:catAx>
        <c:axId val="14504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4504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049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45047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4174077396443735E-3"/>
          <c:y val="0.87976340457442881"/>
          <c:w val="0.9915826438650186"/>
          <c:h val="0.120236595425571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kg smaltiti per Codice CER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Rifiuti!$B$5</c:f>
              <c:strCache>
                <c:ptCount val="1"/>
                <c:pt idx="0">
                  <c:v>04 02 20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Rifiuti!$E$5:$H$5</c15:sqref>
                  </c15:fullRef>
                </c:ext>
              </c:extLst>
              <c:f>Rifiuti!$E$5:$G$5</c:f>
              <c:numCache>
                <c:formatCode>_-* #,##0_-;\-* #,##0_-;_-* "-"??_-;_-@_-</c:formatCode>
                <c:ptCount val="3"/>
                <c:pt idx="0">
                  <c:v>559930</c:v>
                </c:pt>
                <c:pt idx="1">
                  <c:v>371245</c:v>
                </c:pt>
                <c:pt idx="2">
                  <c:v>269045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F-4A78-857B-D02B5BFE9DB3}"/>
            </c:ext>
          </c:extLst>
        </c:ser>
        <c:ser>
          <c:idx val="1"/>
          <c:order val="1"/>
          <c:tx>
            <c:strRef>
              <c:f>Rifiuti!$B$7</c:f>
              <c:strCache>
                <c:ptCount val="1"/>
                <c:pt idx="0">
                  <c:v>04 02 22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Rifiuti!$E$7:$H$7</c15:sqref>
                  </c15:fullRef>
                </c:ext>
              </c:extLst>
              <c:f>Rifiuti!$E$7:$G$7</c:f>
              <c:numCache>
                <c:formatCode>_-* #,##0_-;\-* #,##0_-;_-* "-"??_-;_-@_-</c:formatCode>
                <c:ptCount val="3"/>
                <c:pt idx="0">
                  <c:v>151110</c:v>
                </c:pt>
                <c:pt idx="1">
                  <c:v>139210</c:v>
                </c:pt>
                <c:pt idx="2">
                  <c:v>140000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AF-4A78-857B-D02B5BFE9DB3}"/>
            </c:ext>
          </c:extLst>
        </c:ser>
        <c:ser>
          <c:idx val="2"/>
          <c:order val="2"/>
          <c:tx>
            <c:strRef>
              <c:f>Rifiuti!$B$8</c:f>
              <c:strCache>
                <c:ptCount val="1"/>
                <c:pt idx="0">
                  <c:v>08 01 11*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Rifiuti!$E$8:$H$8</c15:sqref>
                  </c15:fullRef>
                </c:ext>
              </c:extLst>
              <c:f>Rifiuti!$E$8:$G$8</c:f>
              <c:numCache>
                <c:formatCode>_-* #,##0_-;\-* #,##0_-;_-* "-"??_-;_-@_-</c:formatCode>
                <c:ptCount val="3"/>
                <c:pt idx="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AF-4A78-857B-D02B5BFE9DB3}"/>
            </c:ext>
          </c:extLst>
        </c:ser>
        <c:ser>
          <c:idx val="3"/>
          <c:order val="3"/>
          <c:tx>
            <c:strRef>
              <c:f>Rifiuti!$B$9</c:f>
              <c:strCache>
                <c:ptCount val="1"/>
                <c:pt idx="0">
                  <c:v>08 03 18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Rifiuti!$E$9:$H$9</c15:sqref>
                  </c15:fullRef>
                </c:ext>
              </c:extLst>
              <c:f>Rifiuti!$E$9:$G$9</c:f>
              <c:numCache>
                <c:formatCode>_-* #,##0_-;\-* #,##0_-;_-* "-"??_-;_-@_-</c:formatCode>
                <c:ptCount val="3"/>
                <c:pt idx="0">
                  <c:v>31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AF-4A78-857B-D02B5BFE9DB3}"/>
            </c:ext>
          </c:extLst>
        </c:ser>
        <c:ser>
          <c:idx val="4"/>
          <c:order val="4"/>
          <c:tx>
            <c:strRef>
              <c:f>Rifiuti!$B$10</c:f>
              <c:strCache>
                <c:ptCount val="1"/>
                <c:pt idx="0">
                  <c:v>13 02 08*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Rifiuti!$E$10:$H$10</c15:sqref>
                  </c15:fullRef>
                </c:ext>
              </c:extLst>
              <c:f>Rifiuti!$E$10:$G$10</c:f>
              <c:numCache>
                <c:formatCode>_-* #,##0_-;\-* #,##0_-;_-* "-"??_-;_-@_-</c:formatCode>
                <c:ptCount val="3"/>
                <c:pt idx="0">
                  <c:v>1876</c:v>
                </c:pt>
                <c:pt idx="2">
                  <c:v>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AF-4A78-857B-D02B5BFE9DB3}"/>
            </c:ext>
          </c:extLst>
        </c:ser>
        <c:ser>
          <c:idx val="5"/>
          <c:order val="5"/>
          <c:tx>
            <c:strRef>
              <c:f>Rifiuti!$B$11</c:f>
              <c:strCache>
                <c:ptCount val="1"/>
                <c:pt idx="0">
                  <c:v>13 08 02*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Rifiuti!$E$11:$H$11</c15:sqref>
                  </c15:fullRef>
                </c:ext>
              </c:extLst>
              <c:f>Rifiuti!$E$11:$G$11</c:f>
              <c:numCache>
                <c:formatCode>_-* #,##0_-;\-* #,##0_-;_-* "-"??_-;_-@_-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5CAF-4A78-857B-D02B5BFE9DB3}"/>
            </c:ext>
          </c:extLst>
        </c:ser>
        <c:ser>
          <c:idx val="6"/>
          <c:order val="6"/>
          <c:tx>
            <c:strRef>
              <c:f>Rifiuti!$B$12</c:f>
              <c:strCache>
                <c:ptCount val="1"/>
                <c:pt idx="0">
                  <c:v>15 01 01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Rifiuti!$E$12:$H$12</c15:sqref>
                  </c15:fullRef>
                </c:ext>
              </c:extLst>
              <c:f>Rifiuti!$E$12:$G$12</c:f>
              <c:numCache>
                <c:formatCode>_-* #,##0_-;\-* #,##0_-;_-* "-"??_-;_-@_-</c:formatCode>
                <c:ptCount val="3"/>
                <c:pt idx="0">
                  <c:v>37410</c:v>
                </c:pt>
                <c:pt idx="1">
                  <c:v>31030</c:v>
                </c:pt>
                <c:pt idx="2">
                  <c:v>38480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AF-4A78-857B-D02B5BFE9DB3}"/>
            </c:ext>
          </c:extLst>
        </c:ser>
        <c:ser>
          <c:idx val="7"/>
          <c:order val="7"/>
          <c:tx>
            <c:strRef>
              <c:f>Rifiuti!$B$13</c:f>
              <c:strCache>
                <c:ptCount val="1"/>
                <c:pt idx="0">
                  <c:v>15 01 02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Rifiuti!$E$13:$H$13</c15:sqref>
                  </c15:fullRef>
                </c:ext>
              </c:extLst>
              <c:f>Rifiuti!$E$13:$G$13</c:f>
              <c:numCache>
                <c:formatCode>_-* #,##0_-;\-* #,##0_-;_-* "-"??_-;_-@_-</c:formatCode>
                <c:ptCount val="3"/>
                <c:pt idx="0">
                  <c:v>45220</c:v>
                </c:pt>
                <c:pt idx="1">
                  <c:v>35830</c:v>
                </c:pt>
                <c:pt idx="2">
                  <c:v>37140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AF-4A78-857B-D02B5BFE9DB3}"/>
            </c:ext>
          </c:extLst>
        </c:ser>
        <c:ser>
          <c:idx val="8"/>
          <c:order val="8"/>
          <c:tx>
            <c:strRef>
              <c:f>Rifiuti!$B$14</c:f>
              <c:strCache>
                <c:ptCount val="1"/>
                <c:pt idx="0">
                  <c:v>15 01 03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Rifiuti!$E$14:$H$14</c15:sqref>
                  </c15:fullRef>
                </c:ext>
              </c:extLst>
              <c:f>Rifiuti!$E$14:$G$14</c:f>
              <c:numCache>
                <c:formatCode>_-* #,##0_-;\-* #,##0_-;_-* "-"??_-;_-@_-</c:formatCode>
                <c:ptCount val="3"/>
                <c:pt idx="0">
                  <c:v>35120</c:v>
                </c:pt>
                <c:pt idx="1">
                  <c:v>37120</c:v>
                </c:pt>
                <c:pt idx="2">
                  <c:v>37910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AF-4A78-857B-D02B5BFE9DB3}"/>
            </c:ext>
          </c:extLst>
        </c:ser>
        <c:ser>
          <c:idx val="9"/>
          <c:order val="9"/>
          <c:tx>
            <c:strRef>
              <c:f>Rifiuti!$B$16</c:f>
              <c:strCache>
                <c:ptCount val="1"/>
                <c:pt idx="0">
                  <c:v>15 02 02*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Rifiuti!$E$16:$H$16</c15:sqref>
                  </c15:fullRef>
                </c:ext>
              </c:extLst>
              <c:f>Rifiuti!$E$16:$G$16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CAF-4A78-857B-D02B5BFE9DB3}"/>
            </c:ext>
          </c:extLst>
        </c:ser>
        <c:ser>
          <c:idx val="10"/>
          <c:order val="10"/>
          <c:tx>
            <c:strRef>
              <c:f>Rifiuti!$B$19</c:f>
              <c:strCache>
                <c:ptCount val="1"/>
                <c:pt idx="0">
                  <c:v>16 01 07*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Rifiuti!$E$19:$H$19</c15:sqref>
                  </c15:fullRef>
                </c:ext>
              </c:extLst>
              <c:f>Rifiuti!$E$19:$G$19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AF-4A78-857B-D02B5BFE9DB3}"/>
            </c:ext>
          </c:extLst>
        </c:ser>
        <c:ser>
          <c:idx val="11"/>
          <c:order val="11"/>
          <c:tx>
            <c:strRef>
              <c:f>Rifiuti!$B$20</c:f>
              <c:strCache>
                <c:ptCount val="1"/>
                <c:pt idx="0">
                  <c:v>16 02 13*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Rifiuti!$E$20:$H$20</c15:sqref>
                  </c15:fullRef>
                </c:ext>
              </c:extLst>
              <c:f>Rifiuti!$E$20:$G$20</c:f>
              <c:numCache>
                <c:formatCode>_-* #,##0_-;\-* #,##0_-;_-* "-"??_-;_-@_-</c:formatCode>
                <c:ptCount val="3"/>
                <c:pt idx="0">
                  <c:v>51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AF-4A78-857B-D02B5BFE9DB3}"/>
            </c:ext>
          </c:extLst>
        </c:ser>
        <c:ser>
          <c:idx val="12"/>
          <c:order val="12"/>
          <c:tx>
            <c:strRef>
              <c:f>Rifiuti!$B$21</c:f>
              <c:strCache>
                <c:ptCount val="1"/>
                <c:pt idx="0">
                  <c:v>16 02 14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Rifiuti!$E$21:$H$21</c15:sqref>
                  </c15:fullRef>
                </c:ext>
              </c:extLst>
              <c:f>Rifiuti!$E$21:$G$21</c:f>
              <c:numCache>
                <c:formatCode>_-* #,##0_-;\-* #,##0_-;_-* "-"??_-;_-@_-</c:formatCode>
                <c:ptCount val="3"/>
                <c:pt idx="0">
                  <c:v>627</c:v>
                </c:pt>
                <c:pt idx="2">
                  <c:v>6592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CAF-4A78-857B-D02B5BFE9DB3}"/>
            </c:ext>
          </c:extLst>
        </c:ser>
        <c:ser>
          <c:idx val="13"/>
          <c:order val="13"/>
          <c:tx>
            <c:strRef>
              <c:f>Rifiuti!$B$23</c:f>
              <c:strCache>
                <c:ptCount val="1"/>
                <c:pt idx="0">
                  <c:v>16 03 05*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Rifiuti!$E$23:$H$23</c15:sqref>
                  </c15:fullRef>
                </c:ext>
              </c:extLst>
              <c:f>Rifiuti!$E$23:$G$23</c:f>
              <c:numCache>
                <c:formatCode>_-* #,##0_-;\-* #,##0_-;_-* "-"??_-;_-@_-</c:formatCode>
                <c:ptCount val="3"/>
                <c:pt idx="0">
                  <c:v>1681</c:v>
                </c:pt>
                <c:pt idx="1">
                  <c:v>1220</c:v>
                </c:pt>
                <c:pt idx="2">
                  <c:v>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CAF-4A78-857B-D02B5BFE9DB3}"/>
            </c:ext>
          </c:extLst>
        </c:ser>
        <c:ser>
          <c:idx val="14"/>
          <c:order val="14"/>
          <c:tx>
            <c:strRef>
              <c:f>Rifiuti!$B$26</c:f>
              <c:strCache>
                <c:ptCount val="1"/>
                <c:pt idx="0">
                  <c:v>16 05 04*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Rifiuti!$E$26:$H$26</c15:sqref>
                  </c15:fullRef>
                </c:ext>
              </c:extLst>
              <c:f>Rifiuti!$E$26:$G$26</c:f>
              <c:numCache>
                <c:formatCode>_-* #,##0_-;\-* #,##0_-;_-* "-"??_-;_-@_-</c:formatCode>
                <c:ptCount val="3"/>
                <c:pt idx="0">
                  <c:v>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CAF-4A78-857B-D02B5BFE9DB3}"/>
            </c:ext>
          </c:extLst>
        </c:ser>
        <c:ser>
          <c:idx val="15"/>
          <c:order val="15"/>
          <c:tx>
            <c:strRef>
              <c:f>Rifiuti!$B$29</c:f>
              <c:strCache>
                <c:ptCount val="1"/>
                <c:pt idx="0">
                  <c:v>16 06 04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Rifiuti!$E$29:$H$29</c15:sqref>
                  </c15:fullRef>
                </c:ext>
              </c:extLst>
              <c:f>Rifiuti!$E$29:$G$29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CAF-4A78-857B-D02B5BFE9DB3}"/>
            </c:ext>
          </c:extLst>
        </c:ser>
        <c:ser>
          <c:idx val="16"/>
          <c:order val="16"/>
          <c:tx>
            <c:strRef>
              <c:f>Rifiuti!$B$30</c:f>
              <c:strCache>
                <c:ptCount val="1"/>
                <c:pt idx="0">
                  <c:v>16 07 08*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Rifiuti!$E$30:$H$30</c15:sqref>
                  </c15:fullRef>
                </c:ext>
              </c:extLst>
              <c:f>Rifiuti!$E$30:$G$30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CAF-4A78-857B-D02B5BFE9DB3}"/>
            </c:ext>
          </c:extLst>
        </c:ser>
        <c:ser>
          <c:idx val="17"/>
          <c:order val="17"/>
          <c:tx>
            <c:strRef>
              <c:f>Rifiuti!$B$32</c:f>
              <c:strCache>
                <c:ptCount val="1"/>
                <c:pt idx="0">
                  <c:v>17 04 02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Rifiuti!$E$32:$H$32</c15:sqref>
                  </c15:fullRef>
                </c:ext>
              </c:extLst>
              <c:f>Rifiuti!$E$32:$G$32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CAF-4A78-857B-D02B5BFE9DB3}"/>
            </c:ext>
          </c:extLst>
        </c:ser>
        <c:ser>
          <c:idx val="31"/>
          <c:order val="18"/>
          <c:tx>
            <c:strRef>
              <c:f>Rifiuti!$B$33</c:f>
              <c:strCache>
                <c:ptCount val="1"/>
                <c:pt idx="0">
                  <c:v>17 04 05</c:v>
                </c:pt>
              </c:strCache>
            </c:strRef>
          </c:tx>
          <c:spPr>
            <a:solidFill>
              <a:schemeClr val="accent1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Rifiuti!$E$33:$H$33</c15:sqref>
                  </c15:fullRef>
                </c:ext>
              </c:extLst>
              <c:f>Rifiuti!$E$33:$G$33</c:f>
              <c:numCache>
                <c:formatCode>_-* #,##0_-;\-* #,##0_-;_-* "-"??_-;_-@_-</c:formatCode>
                <c:ptCount val="3"/>
                <c:pt idx="0">
                  <c:v>9570</c:v>
                </c:pt>
                <c:pt idx="1">
                  <c:v>10629</c:v>
                </c:pt>
                <c:pt idx="2">
                  <c:v>6340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2-5CAF-4A78-857B-D02B5BFE9DB3}"/>
            </c:ext>
          </c:extLst>
        </c:ser>
        <c:ser>
          <c:idx val="18"/>
          <c:order val="19"/>
          <c:tx>
            <c:strRef>
              <c:f>Rifiuti!$B$35</c:f>
              <c:strCache>
                <c:ptCount val="1"/>
                <c:pt idx="0">
                  <c:v>17 05 03*</c:v>
                </c:pt>
              </c:strCache>
            </c:strRef>
          </c:tx>
          <c:spPr>
            <a:solidFill>
              <a:schemeClr val="accent1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Rifiuti!$E$35:$H$35</c15:sqref>
                  </c15:fullRef>
                </c:ext>
              </c:extLst>
              <c:f>Rifiuti!$E$35:$G$35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CAF-4A78-857B-D02B5BFE9DB3}"/>
            </c:ext>
          </c:extLst>
        </c:ser>
        <c:ser>
          <c:idx val="19"/>
          <c:order val="20"/>
          <c:tx>
            <c:strRef>
              <c:f>Rifiuti!$B$36</c:f>
              <c:strCache>
                <c:ptCount val="1"/>
                <c:pt idx="0">
                  <c:v>17 06 03*</c:v>
                </c:pt>
              </c:strCache>
            </c:strRef>
          </c:tx>
          <c:spPr>
            <a:solidFill>
              <a:schemeClr val="accent2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Rifiuti!$E$36:$H$36</c15:sqref>
                  </c15:fullRef>
                </c:ext>
              </c:extLst>
              <c:f>Rifiuti!$E$36:$G$36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CAF-4A78-857B-D02B5BFE9DB3}"/>
            </c:ext>
          </c:extLst>
        </c:ser>
        <c:ser>
          <c:idx val="20"/>
          <c:order val="21"/>
          <c:tx>
            <c:strRef>
              <c:f>Rifiuti!$B$37</c:f>
              <c:strCache>
                <c:ptCount val="1"/>
                <c:pt idx="0">
                  <c:v>17 09 04</c:v>
                </c:pt>
              </c:strCache>
            </c:strRef>
          </c:tx>
          <c:spPr>
            <a:solidFill>
              <a:schemeClr val="accent3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Rifiuti!$E$37:$H$37</c15:sqref>
                  </c15:fullRef>
                </c:ext>
              </c:extLst>
              <c:f>Rifiuti!$E$37:$G$37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CAF-4A78-857B-D02B5BFE9DB3}"/>
            </c:ext>
          </c:extLst>
        </c:ser>
        <c:ser>
          <c:idx val="21"/>
          <c:order val="22"/>
          <c:tx>
            <c:strRef>
              <c:f>Rifiuti!$B$39</c:f>
              <c:strCache>
                <c:ptCount val="1"/>
                <c:pt idx="0">
                  <c:v>20 01 21*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Rifiuti!$E$39:$H$39</c15:sqref>
                  </c15:fullRef>
                </c:ext>
              </c:extLst>
              <c:f>Rifiuti!$E$39:$G$39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CAF-4A78-857B-D02B5BFE9DB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7993992"/>
        <c:axId val="327994384"/>
        <c:extLst/>
      </c:barChart>
      <c:catAx>
        <c:axId val="3279939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27994384"/>
        <c:crosses val="autoZero"/>
        <c:auto val="1"/>
        <c:lblAlgn val="ctr"/>
        <c:lblOffset val="100"/>
        <c:noMultiLvlLbl val="0"/>
      </c:catAx>
      <c:valAx>
        <c:axId val="32799438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7993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4111111111111111E-2"/>
          <c:y val="7.9038194444444446E-2"/>
          <c:w val="0.14055918803418804"/>
          <c:h val="0.873680822649572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kg smaltiti per Codice CER 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Rifiuti!$B$5</c:f>
              <c:strCache>
                <c:ptCount val="1"/>
                <c:pt idx="0">
                  <c:v>04 02 20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Rifiuti!$E$5:$H$5</c15:sqref>
                  </c15:fullRef>
                </c:ext>
              </c:extLst>
              <c:f>Rifiuti!$E$5:$G$5</c:f>
              <c:numCache>
                <c:formatCode>_-* #,##0_-;\-* #,##0_-;_-* "-"??_-;_-@_-</c:formatCode>
                <c:ptCount val="3"/>
                <c:pt idx="0">
                  <c:v>559930</c:v>
                </c:pt>
                <c:pt idx="1">
                  <c:v>371245</c:v>
                </c:pt>
                <c:pt idx="2">
                  <c:v>269045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9A-4F6B-8741-6490759F1ACC}"/>
            </c:ext>
          </c:extLst>
        </c:ser>
        <c:ser>
          <c:idx val="1"/>
          <c:order val="1"/>
          <c:tx>
            <c:strRef>
              <c:f>Rifiuti!$B$7</c:f>
              <c:strCache>
                <c:ptCount val="1"/>
                <c:pt idx="0">
                  <c:v>04 02 22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Rifiuti!$E$7:$H$7</c15:sqref>
                  </c15:fullRef>
                </c:ext>
              </c:extLst>
              <c:f>Rifiuti!$E$7:$G$7</c:f>
              <c:numCache>
                <c:formatCode>_-* #,##0_-;\-* #,##0_-;_-* "-"??_-;_-@_-</c:formatCode>
                <c:ptCount val="3"/>
                <c:pt idx="0">
                  <c:v>151110</c:v>
                </c:pt>
                <c:pt idx="1">
                  <c:v>139210</c:v>
                </c:pt>
                <c:pt idx="2">
                  <c:v>140000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9A-4F6B-8741-6490759F1ACC}"/>
            </c:ext>
          </c:extLst>
        </c:ser>
        <c:ser>
          <c:idx val="2"/>
          <c:order val="2"/>
          <c:tx>
            <c:strRef>
              <c:f>Rifiuti!$B$8</c:f>
              <c:strCache>
                <c:ptCount val="1"/>
                <c:pt idx="0">
                  <c:v>08 01 11*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Rifiuti!$E$8:$H$8</c15:sqref>
                  </c15:fullRef>
                </c:ext>
              </c:extLst>
              <c:f>Rifiuti!$E$8:$G$8</c:f>
              <c:numCache>
                <c:formatCode>_-* #,##0_-;\-* #,##0_-;_-* "-"??_-;_-@_-</c:formatCode>
                <c:ptCount val="3"/>
                <c:pt idx="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9A-4F6B-8741-6490759F1ACC}"/>
            </c:ext>
          </c:extLst>
        </c:ser>
        <c:ser>
          <c:idx val="3"/>
          <c:order val="3"/>
          <c:tx>
            <c:strRef>
              <c:f>Rifiuti!$B$9</c:f>
              <c:strCache>
                <c:ptCount val="1"/>
                <c:pt idx="0">
                  <c:v>08 03 18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Rifiuti!$E$9:$H$9</c15:sqref>
                  </c15:fullRef>
                </c:ext>
              </c:extLst>
              <c:f>Rifiuti!$E$9:$G$9</c:f>
              <c:numCache>
                <c:formatCode>_-* #,##0_-;\-* #,##0_-;_-* "-"??_-;_-@_-</c:formatCode>
                <c:ptCount val="3"/>
                <c:pt idx="0">
                  <c:v>31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9A-4F6B-8741-6490759F1ACC}"/>
            </c:ext>
          </c:extLst>
        </c:ser>
        <c:ser>
          <c:idx val="4"/>
          <c:order val="4"/>
          <c:tx>
            <c:strRef>
              <c:f>Rifiuti!$B$10</c:f>
              <c:strCache>
                <c:ptCount val="1"/>
                <c:pt idx="0">
                  <c:v>13 02 08*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Rifiuti!$E$10:$H$10</c15:sqref>
                  </c15:fullRef>
                </c:ext>
              </c:extLst>
              <c:f>Rifiuti!$E$10:$G$10</c:f>
              <c:numCache>
                <c:formatCode>_-* #,##0_-;\-* #,##0_-;_-* "-"??_-;_-@_-</c:formatCode>
                <c:ptCount val="3"/>
                <c:pt idx="0">
                  <c:v>1876</c:v>
                </c:pt>
                <c:pt idx="2">
                  <c:v>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9A-4F6B-8741-6490759F1ACC}"/>
            </c:ext>
          </c:extLst>
        </c:ser>
        <c:ser>
          <c:idx val="5"/>
          <c:order val="5"/>
          <c:tx>
            <c:strRef>
              <c:f>Rifiuti!$B$11</c:f>
              <c:strCache>
                <c:ptCount val="1"/>
                <c:pt idx="0">
                  <c:v>13 08 02*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Rifiuti!$E$11:$H$11</c15:sqref>
                  </c15:fullRef>
                </c:ext>
              </c:extLst>
              <c:f>Rifiuti!$E$11:$G$11</c:f>
              <c:numCache>
                <c:formatCode>_-* #,##0_-;\-* #,##0_-;_-* "-"??_-;_-@_-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FF9A-4F6B-8741-6490759F1ACC}"/>
            </c:ext>
          </c:extLst>
        </c:ser>
        <c:ser>
          <c:idx val="6"/>
          <c:order val="6"/>
          <c:tx>
            <c:strRef>
              <c:f>Rifiuti!$B$12</c:f>
              <c:strCache>
                <c:ptCount val="1"/>
                <c:pt idx="0">
                  <c:v>15 01 01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Rifiuti!$E$12:$H$12</c15:sqref>
                  </c15:fullRef>
                </c:ext>
              </c:extLst>
              <c:f>Rifiuti!$E$12:$G$12</c:f>
              <c:numCache>
                <c:formatCode>_-* #,##0_-;\-* #,##0_-;_-* "-"??_-;_-@_-</c:formatCode>
                <c:ptCount val="3"/>
                <c:pt idx="0">
                  <c:v>37410</c:v>
                </c:pt>
                <c:pt idx="1">
                  <c:v>31030</c:v>
                </c:pt>
                <c:pt idx="2">
                  <c:v>38480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9A-4F6B-8741-6490759F1ACC}"/>
            </c:ext>
          </c:extLst>
        </c:ser>
        <c:ser>
          <c:idx val="7"/>
          <c:order val="7"/>
          <c:tx>
            <c:strRef>
              <c:f>Rifiuti!$B$13</c:f>
              <c:strCache>
                <c:ptCount val="1"/>
                <c:pt idx="0">
                  <c:v>15 01 02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Rifiuti!$E$13:$H$13</c15:sqref>
                  </c15:fullRef>
                </c:ext>
              </c:extLst>
              <c:f>Rifiuti!$E$13:$G$13</c:f>
              <c:numCache>
                <c:formatCode>_-* #,##0_-;\-* #,##0_-;_-* "-"??_-;_-@_-</c:formatCode>
                <c:ptCount val="3"/>
                <c:pt idx="0">
                  <c:v>45220</c:v>
                </c:pt>
                <c:pt idx="1">
                  <c:v>35830</c:v>
                </c:pt>
                <c:pt idx="2">
                  <c:v>37140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9A-4F6B-8741-6490759F1ACC}"/>
            </c:ext>
          </c:extLst>
        </c:ser>
        <c:ser>
          <c:idx val="8"/>
          <c:order val="8"/>
          <c:tx>
            <c:strRef>
              <c:f>Rifiuti!$B$14</c:f>
              <c:strCache>
                <c:ptCount val="1"/>
                <c:pt idx="0">
                  <c:v>15 01 03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Rifiuti!$E$14:$H$14</c15:sqref>
                  </c15:fullRef>
                </c:ext>
              </c:extLst>
              <c:f>Rifiuti!$E$14:$G$14</c:f>
              <c:numCache>
                <c:formatCode>_-* #,##0_-;\-* #,##0_-;_-* "-"??_-;_-@_-</c:formatCode>
                <c:ptCount val="3"/>
                <c:pt idx="0">
                  <c:v>35120</c:v>
                </c:pt>
                <c:pt idx="1">
                  <c:v>37120</c:v>
                </c:pt>
                <c:pt idx="2">
                  <c:v>37910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F9A-4F6B-8741-6490759F1ACC}"/>
            </c:ext>
          </c:extLst>
        </c:ser>
        <c:ser>
          <c:idx val="9"/>
          <c:order val="9"/>
          <c:tx>
            <c:strRef>
              <c:f>Rifiuti!$B$16</c:f>
              <c:strCache>
                <c:ptCount val="1"/>
                <c:pt idx="0">
                  <c:v>15 02 02*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Rifiuti!$E$16:$H$16</c15:sqref>
                  </c15:fullRef>
                </c:ext>
              </c:extLst>
              <c:f>Rifiuti!$E$16:$G$16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F9A-4F6B-8741-6490759F1ACC}"/>
            </c:ext>
          </c:extLst>
        </c:ser>
        <c:ser>
          <c:idx val="10"/>
          <c:order val="10"/>
          <c:tx>
            <c:strRef>
              <c:f>Rifiuti!$B$19</c:f>
              <c:strCache>
                <c:ptCount val="1"/>
                <c:pt idx="0">
                  <c:v>16 01 07*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Rifiuti!$E$19:$H$19</c15:sqref>
                  </c15:fullRef>
                </c:ext>
              </c:extLst>
              <c:f>Rifiuti!$E$19:$G$19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F9A-4F6B-8741-6490759F1ACC}"/>
            </c:ext>
          </c:extLst>
        </c:ser>
        <c:ser>
          <c:idx val="11"/>
          <c:order val="11"/>
          <c:tx>
            <c:strRef>
              <c:f>Rifiuti!$B$20</c:f>
              <c:strCache>
                <c:ptCount val="1"/>
                <c:pt idx="0">
                  <c:v>16 02 13*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Rifiuti!$E$20:$H$20</c15:sqref>
                  </c15:fullRef>
                </c:ext>
              </c:extLst>
              <c:f>Rifiuti!$E$20:$G$20</c:f>
              <c:numCache>
                <c:formatCode>_-* #,##0_-;\-* #,##0_-;_-* "-"??_-;_-@_-</c:formatCode>
                <c:ptCount val="3"/>
                <c:pt idx="0">
                  <c:v>51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F9A-4F6B-8741-6490759F1ACC}"/>
            </c:ext>
          </c:extLst>
        </c:ser>
        <c:ser>
          <c:idx val="12"/>
          <c:order val="12"/>
          <c:tx>
            <c:strRef>
              <c:f>Rifiuti!$B$21</c:f>
              <c:strCache>
                <c:ptCount val="1"/>
                <c:pt idx="0">
                  <c:v>16 02 14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Rifiuti!$E$21:$H$21</c15:sqref>
                  </c15:fullRef>
                </c:ext>
              </c:extLst>
              <c:f>Rifiuti!$E$21:$G$21</c:f>
              <c:numCache>
                <c:formatCode>_-* #,##0_-;\-* #,##0_-;_-* "-"??_-;_-@_-</c:formatCode>
                <c:ptCount val="3"/>
                <c:pt idx="0">
                  <c:v>627</c:v>
                </c:pt>
                <c:pt idx="2">
                  <c:v>6592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F9A-4F6B-8741-6490759F1ACC}"/>
            </c:ext>
          </c:extLst>
        </c:ser>
        <c:ser>
          <c:idx val="13"/>
          <c:order val="13"/>
          <c:tx>
            <c:strRef>
              <c:f>Rifiuti!$B$23</c:f>
              <c:strCache>
                <c:ptCount val="1"/>
                <c:pt idx="0">
                  <c:v>16 03 05*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Rifiuti!$E$23:$H$23</c15:sqref>
                  </c15:fullRef>
                </c:ext>
              </c:extLst>
              <c:f>Rifiuti!$E$23:$G$23</c:f>
              <c:numCache>
                <c:formatCode>_-* #,##0_-;\-* #,##0_-;_-* "-"??_-;_-@_-</c:formatCode>
                <c:ptCount val="3"/>
                <c:pt idx="0">
                  <c:v>1681</c:v>
                </c:pt>
                <c:pt idx="1">
                  <c:v>1220</c:v>
                </c:pt>
                <c:pt idx="2">
                  <c:v>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F9A-4F6B-8741-6490759F1ACC}"/>
            </c:ext>
          </c:extLst>
        </c:ser>
        <c:ser>
          <c:idx val="14"/>
          <c:order val="14"/>
          <c:tx>
            <c:strRef>
              <c:f>Rifiuti!$B$26</c:f>
              <c:strCache>
                <c:ptCount val="1"/>
                <c:pt idx="0">
                  <c:v>16 05 04*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Rifiuti!$E$26:$H$26</c15:sqref>
                  </c15:fullRef>
                </c:ext>
              </c:extLst>
              <c:f>Rifiuti!$E$26:$G$26</c:f>
              <c:numCache>
                <c:formatCode>_-* #,##0_-;\-* #,##0_-;_-* "-"??_-;_-@_-</c:formatCode>
                <c:ptCount val="3"/>
                <c:pt idx="0">
                  <c:v>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F9A-4F6B-8741-6490759F1ACC}"/>
            </c:ext>
          </c:extLst>
        </c:ser>
        <c:ser>
          <c:idx val="15"/>
          <c:order val="15"/>
          <c:tx>
            <c:strRef>
              <c:f>Rifiuti!$B$29</c:f>
              <c:strCache>
                <c:ptCount val="1"/>
                <c:pt idx="0">
                  <c:v>16 06 04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Rifiuti!$E$29:$H$29</c15:sqref>
                  </c15:fullRef>
                </c:ext>
              </c:extLst>
              <c:f>Rifiuti!$E$29:$G$29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F9A-4F6B-8741-6490759F1ACC}"/>
            </c:ext>
          </c:extLst>
        </c:ser>
        <c:ser>
          <c:idx val="16"/>
          <c:order val="16"/>
          <c:tx>
            <c:strRef>
              <c:f>Rifiuti!$B$30</c:f>
              <c:strCache>
                <c:ptCount val="1"/>
                <c:pt idx="0">
                  <c:v>16 07 08*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Rifiuti!$E$30:$H$30</c15:sqref>
                  </c15:fullRef>
                </c:ext>
              </c:extLst>
              <c:f>Rifiuti!$E$30:$G$30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F9A-4F6B-8741-6490759F1ACC}"/>
            </c:ext>
          </c:extLst>
        </c:ser>
        <c:ser>
          <c:idx val="17"/>
          <c:order val="17"/>
          <c:tx>
            <c:strRef>
              <c:f>Rifiuti!$B$32</c:f>
              <c:strCache>
                <c:ptCount val="1"/>
                <c:pt idx="0">
                  <c:v>17 04 02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Rifiuti!$E$32:$H$32</c15:sqref>
                  </c15:fullRef>
                </c:ext>
              </c:extLst>
              <c:f>Rifiuti!$E$32:$G$32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F9A-4F6B-8741-6490759F1ACC}"/>
            </c:ext>
          </c:extLst>
        </c:ser>
        <c:ser>
          <c:idx val="31"/>
          <c:order val="18"/>
          <c:tx>
            <c:strRef>
              <c:f>Rifiuti!$B$33</c:f>
              <c:strCache>
                <c:ptCount val="1"/>
                <c:pt idx="0">
                  <c:v>17 04 05</c:v>
                </c:pt>
              </c:strCache>
            </c:strRef>
          </c:tx>
          <c:spPr>
            <a:solidFill>
              <a:schemeClr val="accent1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Rifiuti!$E$33:$H$33</c15:sqref>
                  </c15:fullRef>
                </c:ext>
              </c:extLst>
              <c:f>Rifiuti!$E$33:$G$33</c:f>
              <c:numCache>
                <c:formatCode>_-* #,##0_-;\-* #,##0_-;_-* "-"??_-;_-@_-</c:formatCode>
                <c:ptCount val="3"/>
                <c:pt idx="0">
                  <c:v>9570</c:v>
                </c:pt>
                <c:pt idx="1">
                  <c:v>10629</c:v>
                </c:pt>
                <c:pt idx="2">
                  <c:v>6340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2-FF9A-4F6B-8741-6490759F1ACC}"/>
            </c:ext>
          </c:extLst>
        </c:ser>
        <c:ser>
          <c:idx val="18"/>
          <c:order val="19"/>
          <c:tx>
            <c:strRef>
              <c:f>Rifiuti!$B$35</c:f>
              <c:strCache>
                <c:ptCount val="1"/>
                <c:pt idx="0">
                  <c:v>17 05 03*</c:v>
                </c:pt>
              </c:strCache>
            </c:strRef>
          </c:tx>
          <c:spPr>
            <a:solidFill>
              <a:schemeClr val="accent1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Rifiuti!$E$35:$H$35</c15:sqref>
                  </c15:fullRef>
                </c:ext>
              </c:extLst>
              <c:f>Rifiuti!$E$35:$G$35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F9A-4F6B-8741-6490759F1ACC}"/>
            </c:ext>
          </c:extLst>
        </c:ser>
        <c:ser>
          <c:idx val="19"/>
          <c:order val="20"/>
          <c:tx>
            <c:strRef>
              <c:f>Rifiuti!$B$36</c:f>
              <c:strCache>
                <c:ptCount val="1"/>
                <c:pt idx="0">
                  <c:v>17 06 03*</c:v>
                </c:pt>
              </c:strCache>
            </c:strRef>
          </c:tx>
          <c:spPr>
            <a:solidFill>
              <a:schemeClr val="accent2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Rifiuti!$E$36:$H$36</c15:sqref>
                  </c15:fullRef>
                </c:ext>
              </c:extLst>
              <c:f>Rifiuti!$E$36:$G$36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F9A-4F6B-8741-6490759F1ACC}"/>
            </c:ext>
          </c:extLst>
        </c:ser>
        <c:ser>
          <c:idx val="20"/>
          <c:order val="21"/>
          <c:tx>
            <c:strRef>
              <c:f>Rifiuti!$B$37</c:f>
              <c:strCache>
                <c:ptCount val="1"/>
                <c:pt idx="0">
                  <c:v>17 09 04</c:v>
                </c:pt>
              </c:strCache>
            </c:strRef>
          </c:tx>
          <c:spPr>
            <a:solidFill>
              <a:schemeClr val="accent3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Rifiuti!$E$37:$H$37</c15:sqref>
                  </c15:fullRef>
                </c:ext>
              </c:extLst>
              <c:f>Rifiuti!$E$37:$G$37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F9A-4F6B-8741-6490759F1ACC}"/>
            </c:ext>
          </c:extLst>
        </c:ser>
        <c:ser>
          <c:idx val="21"/>
          <c:order val="22"/>
          <c:tx>
            <c:strRef>
              <c:f>Rifiuti!$B$39</c:f>
              <c:strCache>
                <c:ptCount val="1"/>
                <c:pt idx="0">
                  <c:v>20 01 21*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Rifiuti!$E$39:$H$39</c15:sqref>
                  </c15:fullRef>
                </c:ext>
              </c:extLst>
              <c:f>Rifiuti!$E$39:$G$39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F9A-4F6B-8741-6490759F1AC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7995168"/>
        <c:axId val="327995560"/>
        <c:extLst/>
      </c:barChart>
      <c:catAx>
        <c:axId val="3279951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27995560"/>
        <c:crosses val="autoZero"/>
        <c:auto val="1"/>
        <c:lblAlgn val="ctr"/>
        <c:lblOffset val="100"/>
        <c:noMultiLvlLbl val="0"/>
      </c:catAx>
      <c:valAx>
        <c:axId val="32799556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799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4111111111111111E-2"/>
          <c:y val="7.9038194444444446E-2"/>
          <c:w val="0.14055918803418804"/>
          <c:h val="0.8770729166666666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kg smaltiti per Codice CER - 2022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Rifiuti!$B$5</c:f>
              <c:strCache>
                <c:ptCount val="1"/>
                <c:pt idx="0">
                  <c:v>04 02 20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Rifiuti!$E$5:$H$5</c15:sqref>
                  </c15:fullRef>
                </c:ext>
              </c:extLst>
              <c:f>Rifiuti!$E$5:$G$5</c:f>
              <c:numCache>
                <c:formatCode>_-* #,##0_-;\-* #,##0_-;_-* "-"??_-;_-@_-</c:formatCode>
                <c:ptCount val="3"/>
                <c:pt idx="0">
                  <c:v>559930</c:v>
                </c:pt>
                <c:pt idx="1">
                  <c:v>371245</c:v>
                </c:pt>
                <c:pt idx="2">
                  <c:v>269045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F-4602-BA8E-07B95CB12C3F}"/>
            </c:ext>
          </c:extLst>
        </c:ser>
        <c:ser>
          <c:idx val="1"/>
          <c:order val="1"/>
          <c:tx>
            <c:strRef>
              <c:f>Rifiuti!$B$7</c:f>
              <c:strCache>
                <c:ptCount val="1"/>
                <c:pt idx="0">
                  <c:v>04 02 22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Rifiuti!$E$7:$H$7</c15:sqref>
                  </c15:fullRef>
                </c:ext>
              </c:extLst>
              <c:f>Rifiuti!$E$7:$G$7</c:f>
              <c:numCache>
                <c:formatCode>_-* #,##0_-;\-* #,##0_-;_-* "-"??_-;_-@_-</c:formatCode>
                <c:ptCount val="3"/>
                <c:pt idx="0">
                  <c:v>151110</c:v>
                </c:pt>
                <c:pt idx="1">
                  <c:v>139210</c:v>
                </c:pt>
                <c:pt idx="2">
                  <c:v>140000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4F-4602-BA8E-07B95CB12C3F}"/>
            </c:ext>
          </c:extLst>
        </c:ser>
        <c:ser>
          <c:idx val="2"/>
          <c:order val="2"/>
          <c:tx>
            <c:strRef>
              <c:f>Rifiuti!$B$8</c:f>
              <c:strCache>
                <c:ptCount val="1"/>
                <c:pt idx="0">
                  <c:v>08 01 11*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Rifiuti!$E$8:$H$8</c15:sqref>
                  </c15:fullRef>
                </c:ext>
              </c:extLst>
              <c:f>Rifiuti!$E$8:$G$8</c:f>
              <c:numCache>
                <c:formatCode>_-* #,##0_-;\-* #,##0_-;_-* "-"??_-;_-@_-</c:formatCode>
                <c:ptCount val="3"/>
                <c:pt idx="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4F-4602-BA8E-07B95CB12C3F}"/>
            </c:ext>
          </c:extLst>
        </c:ser>
        <c:ser>
          <c:idx val="3"/>
          <c:order val="3"/>
          <c:tx>
            <c:strRef>
              <c:f>Rifiuti!$B$9</c:f>
              <c:strCache>
                <c:ptCount val="1"/>
                <c:pt idx="0">
                  <c:v>08 03 18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Rifiuti!$E$9:$H$9</c15:sqref>
                  </c15:fullRef>
                </c:ext>
              </c:extLst>
              <c:f>Rifiuti!$E$9:$G$9</c:f>
              <c:numCache>
                <c:formatCode>_-* #,##0_-;\-* #,##0_-;_-* "-"??_-;_-@_-</c:formatCode>
                <c:ptCount val="3"/>
                <c:pt idx="0">
                  <c:v>31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4F-4602-BA8E-07B95CB12C3F}"/>
            </c:ext>
          </c:extLst>
        </c:ser>
        <c:ser>
          <c:idx val="4"/>
          <c:order val="4"/>
          <c:tx>
            <c:strRef>
              <c:f>Rifiuti!$B$10</c:f>
              <c:strCache>
                <c:ptCount val="1"/>
                <c:pt idx="0">
                  <c:v>13 02 08*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Rifiuti!$E$10:$H$10</c15:sqref>
                  </c15:fullRef>
                </c:ext>
              </c:extLst>
              <c:f>Rifiuti!$E$10:$G$10</c:f>
              <c:numCache>
                <c:formatCode>_-* #,##0_-;\-* #,##0_-;_-* "-"??_-;_-@_-</c:formatCode>
                <c:ptCount val="3"/>
                <c:pt idx="0">
                  <c:v>1876</c:v>
                </c:pt>
                <c:pt idx="2">
                  <c:v>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4F-4602-BA8E-07B95CB12C3F}"/>
            </c:ext>
          </c:extLst>
        </c:ser>
        <c:ser>
          <c:idx val="5"/>
          <c:order val="5"/>
          <c:tx>
            <c:strRef>
              <c:f>Rifiuti!$B$11</c:f>
              <c:strCache>
                <c:ptCount val="1"/>
                <c:pt idx="0">
                  <c:v>13 08 02*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Rifiuti!$E$11:$H$11</c15:sqref>
                  </c15:fullRef>
                </c:ext>
              </c:extLst>
              <c:f>Rifiuti!$E$11:$G$11</c:f>
              <c:numCache>
                <c:formatCode>_-* #,##0_-;\-* #,##0_-;_-* "-"??_-;_-@_-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544F-4602-BA8E-07B95CB12C3F}"/>
            </c:ext>
          </c:extLst>
        </c:ser>
        <c:ser>
          <c:idx val="6"/>
          <c:order val="6"/>
          <c:tx>
            <c:strRef>
              <c:f>Rifiuti!$B$12</c:f>
              <c:strCache>
                <c:ptCount val="1"/>
                <c:pt idx="0">
                  <c:v>15 01 01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Rifiuti!$E$12:$H$12</c15:sqref>
                  </c15:fullRef>
                </c:ext>
              </c:extLst>
              <c:f>Rifiuti!$E$12:$G$12</c:f>
              <c:numCache>
                <c:formatCode>_-* #,##0_-;\-* #,##0_-;_-* "-"??_-;_-@_-</c:formatCode>
                <c:ptCount val="3"/>
                <c:pt idx="0">
                  <c:v>37410</c:v>
                </c:pt>
                <c:pt idx="1">
                  <c:v>31030</c:v>
                </c:pt>
                <c:pt idx="2">
                  <c:v>38480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4F-4602-BA8E-07B95CB12C3F}"/>
            </c:ext>
          </c:extLst>
        </c:ser>
        <c:ser>
          <c:idx val="7"/>
          <c:order val="7"/>
          <c:tx>
            <c:strRef>
              <c:f>Rifiuti!$B$13</c:f>
              <c:strCache>
                <c:ptCount val="1"/>
                <c:pt idx="0">
                  <c:v>15 01 02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Rifiuti!$E$13:$H$13</c15:sqref>
                  </c15:fullRef>
                </c:ext>
              </c:extLst>
              <c:f>Rifiuti!$E$13:$G$13</c:f>
              <c:numCache>
                <c:formatCode>_-* #,##0_-;\-* #,##0_-;_-* "-"??_-;_-@_-</c:formatCode>
                <c:ptCount val="3"/>
                <c:pt idx="0">
                  <c:v>45220</c:v>
                </c:pt>
                <c:pt idx="1">
                  <c:v>35830</c:v>
                </c:pt>
                <c:pt idx="2">
                  <c:v>37140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4F-4602-BA8E-07B95CB12C3F}"/>
            </c:ext>
          </c:extLst>
        </c:ser>
        <c:ser>
          <c:idx val="8"/>
          <c:order val="8"/>
          <c:tx>
            <c:strRef>
              <c:f>Rifiuti!$B$14</c:f>
              <c:strCache>
                <c:ptCount val="1"/>
                <c:pt idx="0">
                  <c:v>15 01 03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Rifiuti!$E$14:$H$14</c15:sqref>
                  </c15:fullRef>
                </c:ext>
              </c:extLst>
              <c:f>Rifiuti!$E$14:$G$14</c:f>
              <c:numCache>
                <c:formatCode>_-* #,##0_-;\-* #,##0_-;_-* "-"??_-;_-@_-</c:formatCode>
                <c:ptCount val="3"/>
                <c:pt idx="0">
                  <c:v>35120</c:v>
                </c:pt>
                <c:pt idx="1">
                  <c:v>37120</c:v>
                </c:pt>
                <c:pt idx="2">
                  <c:v>37910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4F-4602-BA8E-07B95CB12C3F}"/>
            </c:ext>
          </c:extLst>
        </c:ser>
        <c:ser>
          <c:idx val="9"/>
          <c:order val="9"/>
          <c:tx>
            <c:strRef>
              <c:f>Rifiuti!$B$16</c:f>
              <c:strCache>
                <c:ptCount val="1"/>
                <c:pt idx="0">
                  <c:v>15 02 02*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Rifiuti!$E$16:$H$16</c15:sqref>
                  </c15:fullRef>
                </c:ext>
              </c:extLst>
              <c:f>Rifiuti!$E$16:$G$16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4F-4602-BA8E-07B95CB12C3F}"/>
            </c:ext>
          </c:extLst>
        </c:ser>
        <c:ser>
          <c:idx val="10"/>
          <c:order val="10"/>
          <c:tx>
            <c:strRef>
              <c:f>Rifiuti!$B$19</c:f>
              <c:strCache>
                <c:ptCount val="1"/>
                <c:pt idx="0">
                  <c:v>16 01 07*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Rifiuti!$E$19:$H$19</c15:sqref>
                  </c15:fullRef>
                </c:ext>
              </c:extLst>
              <c:f>Rifiuti!$E$19:$G$19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44F-4602-BA8E-07B95CB12C3F}"/>
            </c:ext>
          </c:extLst>
        </c:ser>
        <c:ser>
          <c:idx val="11"/>
          <c:order val="11"/>
          <c:tx>
            <c:strRef>
              <c:f>Rifiuti!$B$20</c:f>
              <c:strCache>
                <c:ptCount val="1"/>
                <c:pt idx="0">
                  <c:v>16 02 13*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Rifiuti!$E$20:$H$20</c15:sqref>
                  </c15:fullRef>
                </c:ext>
              </c:extLst>
              <c:f>Rifiuti!$E$20:$G$20</c:f>
              <c:numCache>
                <c:formatCode>_-* #,##0_-;\-* #,##0_-;_-* "-"??_-;_-@_-</c:formatCode>
                <c:ptCount val="3"/>
                <c:pt idx="0">
                  <c:v>51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44F-4602-BA8E-07B95CB12C3F}"/>
            </c:ext>
          </c:extLst>
        </c:ser>
        <c:ser>
          <c:idx val="12"/>
          <c:order val="12"/>
          <c:tx>
            <c:strRef>
              <c:f>Rifiuti!$B$21</c:f>
              <c:strCache>
                <c:ptCount val="1"/>
                <c:pt idx="0">
                  <c:v>16 02 14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Rifiuti!$E$21:$H$21</c15:sqref>
                  </c15:fullRef>
                </c:ext>
              </c:extLst>
              <c:f>Rifiuti!$E$21:$G$21</c:f>
              <c:numCache>
                <c:formatCode>_-* #,##0_-;\-* #,##0_-;_-* "-"??_-;_-@_-</c:formatCode>
                <c:ptCount val="3"/>
                <c:pt idx="0">
                  <c:v>627</c:v>
                </c:pt>
                <c:pt idx="2">
                  <c:v>6592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44F-4602-BA8E-07B95CB12C3F}"/>
            </c:ext>
          </c:extLst>
        </c:ser>
        <c:ser>
          <c:idx val="13"/>
          <c:order val="13"/>
          <c:tx>
            <c:strRef>
              <c:f>Rifiuti!$B$23</c:f>
              <c:strCache>
                <c:ptCount val="1"/>
                <c:pt idx="0">
                  <c:v>16 03 05*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Rifiuti!$E$23:$H$23</c15:sqref>
                  </c15:fullRef>
                </c:ext>
              </c:extLst>
              <c:f>Rifiuti!$E$23:$G$23</c:f>
              <c:numCache>
                <c:formatCode>_-* #,##0_-;\-* #,##0_-;_-* "-"??_-;_-@_-</c:formatCode>
                <c:ptCount val="3"/>
                <c:pt idx="0">
                  <c:v>1681</c:v>
                </c:pt>
                <c:pt idx="1">
                  <c:v>1220</c:v>
                </c:pt>
                <c:pt idx="2">
                  <c:v>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44F-4602-BA8E-07B95CB12C3F}"/>
            </c:ext>
          </c:extLst>
        </c:ser>
        <c:ser>
          <c:idx val="14"/>
          <c:order val="14"/>
          <c:tx>
            <c:strRef>
              <c:f>Rifiuti!$B$26</c:f>
              <c:strCache>
                <c:ptCount val="1"/>
                <c:pt idx="0">
                  <c:v>16 05 04*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Rifiuti!$E$26:$H$26</c15:sqref>
                  </c15:fullRef>
                </c:ext>
              </c:extLst>
              <c:f>Rifiuti!$E$26:$G$26</c:f>
              <c:numCache>
                <c:formatCode>_-* #,##0_-;\-* #,##0_-;_-* "-"??_-;_-@_-</c:formatCode>
                <c:ptCount val="3"/>
                <c:pt idx="0">
                  <c:v>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44F-4602-BA8E-07B95CB12C3F}"/>
            </c:ext>
          </c:extLst>
        </c:ser>
        <c:ser>
          <c:idx val="15"/>
          <c:order val="15"/>
          <c:tx>
            <c:strRef>
              <c:f>Rifiuti!$B$29</c:f>
              <c:strCache>
                <c:ptCount val="1"/>
                <c:pt idx="0">
                  <c:v>16 06 04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Rifiuti!$E$29:$H$29</c15:sqref>
                  </c15:fullRef>
                </c:ext>
              </c:extLst>
              <c:f>Rifiuti!$E$29:$G$29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44F-4602-BA8E-07B95CB12C3F}"/>
            </c:ext>
          </c:extLst>
        </c:ser>
        <c:ser>
          <c:idx val="16"/>
          <c:order val="16"/>
          <c:tx>
            <c:strRef>
              <c:f>Rifiuti!$B$30</c:f>
              <c:strCache>
                <c:ptCount val="1"/>
                <c:pt idx="0">
                  <c:v>16 07 08*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Rifiuti!$E$30:$H$30</c15:sqref>
                  </c15:fullRef>
                </c:ext>
              </c:extLst>
              <c:f>Rifiuti!$E$30:$G$30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44F-4602-BA8E-07B95CB12C3F}"/>
            </c:ext>
          </c:extLst>
        </c:ser>
        <c:ser>
          <c:idx val="17"/>
          <c:order val="17"/>
          <c:tx>
            <c:strRef>
              <c:f>Rifiuti!$B$32</c:f>
              <c:strCache>
                <c:ptCount val="1"/>
                <c:pt idx="0">
                  <c:v>17 04 02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Rifiuti!$E$32:$H$32</c15:sqref>
                  </c15:fullRef>
                </c:ext>
              </c:extLst>
              <c:f>Rifiuti!$E$32:$G$32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44F-4602-BA8E-07B95CB12C3F}"/>
            </c:ext>
          </c:extLst>
        </c:ser>
        <c:ser>
          <c:idx val="31"/>
          <c:order val="18"/>
          <c:tx>
            <c:strRef>
              <c:f>Rifiuti!$B$33</c:f>
              <c:strCache>
                <c:ptCount val="1"/>
                <c:pt idx="0">
                  <c:v>17 04 05</c:v>
                </c:pt>
              </c:strCache>
            </c:strRef>
          </c:tx>
          <c:spPr>
            <a:solidFill>
              <a:schemeClr val="accent1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Rifiuti!$E$33:$H$33</c15:sqref>
                  </c15:fullRef>
                </c:ext>
              </c:extLst>
              <c:f>Rifiuti!$E$33:$G$33</c:f>
              <c:numCache>
                <c:formatCode>_-* #,##0_-;\-* #,##0_-;_-* "-"??_-;_-@_-</c:formatCode>
                <c:ptCount val="3"/>
                <c:pt idx="0">
                  <c:v>9570</c:v>
                </c:pt>
                <c:pt idx="1">
                  <c:v>10629</c:v>
                </c:pt>
                <c:pt idx="2">
                  <c:v>6340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2-544F-4602-BA8E-07B95CB12C3F}"/>
            </c:ext>
          </c:extLst>
        </c:ser>
        <c:ser>
          <c:idx val="18"/>
          <c:order val="19"/>
          <c:tx>
            <c:strRef>
              <c:f>Rifiuti!$B$35</c:f>
              <c:strCache>
                <c:ptCount val="1"/>
                <c:pt idx="0">
                  <c:v>17 05 03*</c:v>
                </c:pt>
              </c:strCache>
            </c:strRef>
          </c:tx>
          <c:spPr>
            <a:solidFill>
              <a:schemeClr val="accent1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Rifiuti!$E$35:$H$35</c15:sqref>
                  </c15:fullRef>
                </c:ext>
              </c:extLst>
              <c:f>Rifiuti!$E$35:$G$35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44F-4602-BA8E-07B95CB12C3F}"/>
            </c:ext>
          </c:extLst>
        </c:ser>
        <c:ser>
          <c:idx val="19"/>
          <c:order val="20"/>
          <c:tx>
            <c:strRef>
              <c:f>Rifiuti!$B$36</c:f>
              <c:strCache>
                <c:ptCount val="1"/>
                <c:pt idx="0">
                  <c:v>17 06 03*</c:v>
                </c:pt>
              </c:strCache>
            </c:strRef>
          </c:tx>
          <c:spPr>
            <a:solidFill>
              <a:schemeClr val="accent2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Rifiuti!$E$36:$H$36</c15:sqref>
                  </c15:fullRef>
                </c:ext>
              </c:extLst>
              <c:f>Rifiuti!$E$36:$G$36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44F-4602-BA8E-07B95CB12C3F}"/>
            </c:ext>
          </c:extLst>
        </c:ser>
        <c:ser>
          <c:idx val="20"/>
          <c:order val="21"/>
          <c:tx>
            <c:strRef>
              <c:f>Rifiuti!$B$37</c:f>
              <c:strCache>
                <c:ptCount val="1"/>
                <c:pt idx="0">
                  <c:v>17 09 04</c:v>
                </c:pt>
              </c:strCache>
            </c:strRef>
          </c:tx>
          <c:spPr>
            <a:solidFill>
              <a:schemeClr val="accent3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Rifiuti!$E$37:$H$37</c15:sqref>
                  </c15:fullRef>
                </c:ext>
              </c:extLst>
              <c:f>Rifiuti!$E$37:$G$37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44F-4602-BA8E-07B95CB12C3F}"/>
            </c:ext>
          </c:extLst>
        </c:ser>
        <c:ser>
          <c:idx val="21"/>
          <c:order val="22"/>
          <c:tx>
            <c:strRef>
              <c:f>Rifiuti!$B$39</c:f>
              <c:strCache>
                <c:ptCount val="1"/>
                <c:pt idx="0">
                  <c:v>20 01 21*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Rifiuti!$E$39:$H$39</c15:sqref>
                  </c15:fullRef>
                </c:ext>
              </c:extLst>
              <c:f>Rifiuti!$E$39:$G$39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44F-4602-BA8E-07B95CB12C3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7996344"/>
        <c:axId val="327996736"/>
        <c:extLst/>
      </c:barChart>
      <c:catAx>
        <c:axId val="3279963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27996736"/>
        <c:crosses val="autoZero"/>
        <c:auto val="1"/>
        <c:lblAlgn val="ctr"/>
        <c:lblOffset val="100"/>
        <c:noMultiLvlLbl val="0"/>
      </c:catAx>
      <c:valAx>
        <c:axId val="32799673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7996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4111111111111111E-2"/>
          <c:y val="7.9038194444444446E-2"/>
          <c:w val="0.14055918803418804"/>
          <c:h val="0.8719847756410257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kg smaltiti per Codice CER - 2026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Rifiuti!$B$5</c:f>
              <c:strCache>
                <c:ptCount val="1"/>
                <c:pt idx="0">
                  <c:v>04 02 20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Rifiuti!$E$5:$H$5</c15:sqref>
                  </c15:fullRef>
                </c:ext>
              </c:extLst>
              <c:f>Rifiuti!$E$5:$G$5</c:f>
              <c:numCache>
                <c:formatCode>_-* #,##0_-;\-* #,##0_-;_-* "-"??_-;_-@_-</c:formatCode>
                <c:ptCount val="3"/>
                <c:pt idx="0">
                  <c:v>559930</c:v>
                </c:pt>
                <c:pt idx="1">
                  <c:v>371245</c:v>
                </c:pt>
                <c:pt idx="2">
                  <c:v>269045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E-485F-8DC9-C30E64E94110}"/>
            </c:ext>
          </c:extLst>
        </c:ser>
        <c:ser>
          <c:idx val="1"/>
          <c:order val="1"/>
          <c:tx>
            <c:strRef>
              <c:f>Rifiuti!$B$7</c:f>
              <c:strCache>
                <c:ptCount val="1"/>
                <c:pt idx="0">
                  <c:v>04 02 22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Rifiuti!$E$7:$H$7</c15:sqref>
                  </c15:fullRef>
                </c:ext>
              </c:extLst>
              <c:f>Rifiuti!$E$7:$G$7</c:f>
              <c:numCache>
                <c:formatCode>_-* #,##0_-;\-* #,##0_-;_-* "-"??_-;_-@_-</c:formatCode>
                <c:ptCount val="3"/>
                <c:pt idx="0">
                  <c:v>151110</c:v>
                </c:pt>
                <c:pt idx="1">
                  <c:v>139210</c:v>
                </c:pt>
                <c:pt idx="2">
                  <c:v>140000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DE-485F-8DC9-C30E64E94110}"/>
            </c:ext>
          </c:extLst>
        </c:ser>
        <c:ser>
          <c:idx val="2"/>
          <c:order val="2"/>
          <c:tx>
            <c:strRef>
              <c:f>Rifiuti!$B$8</c:f>
              <c:strCache>
                <c:ptCount val="1"/>
                <c:pt idx="0">
                  <c:v>08 01 11*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Rifiuti!$E$8:$H$8</c15:sqref>
                  </c15:fullRef>
                </c:ext>
              </c:extLst>
              <c:f>Rifiuti!$E$8:$G$8</c:f>
              <c:numCache>
                <c:formatCode>_-* #,##0_-;\-* #,##0_-;_-* "-"??_-;_-@_-</c:formatCode>
                <c:ptCount val="3"/>
                <c:pt idx="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E-485F-8DC9-C30E64E94110}"/>
            </c:ext>
          </c:extLst>
        </c:ser>
        <c:ser>
          <c:idx val="3"/>
          <c:order val="3"/>
          <c:tx>
            <c:strRef>
              <c:f>Rifiuti!$B$9</c:f>
              <c:strCache>
                <c:ptCount val="1"/>
                <c:pt idx="0">
                  <c:v>08 03 18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Rifiuti!$E$9:$H$9</c15:sqref>
                  </c15:fullRef>
                </c:ext>
              </c:extLst>
              <c:f>Rifiuti!$E$9:$G$9</c:f>
              <c:numCache>
                <c:formatCode>_-* #,##0_-;\-* #,##0_-;_-* "-"??_-;_-@_-</c:formatCode>
                <c:ptCount val="3"/>
                <c:pt idx="0">
                  <c:v>31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DE-485F-8DC9-C30E64E94110}"/>
            </c:ext>
          </c:extLst>
        </c:ser>
        <c:ser>
          <c:idx val="4"/>
          <c:order val="4"/>
          <c:tx>
            <c:strRef>
              <c:f>Rifiuti!$B$10</c:f>
              <c:strCache>
                <c:ptCount val="1"/>
                <c:pt idx="0">
                  <c:v>13 02 08*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Rifiuti!$E$10:$H$10</c15:sqref>
                  </c15:fullRef>
                </c:ext>
              </c:extLst>
              <c:f>Rifiuti!$E$10:$G$10</c:f>
              <c:numCache>
                <c:formatCode>_-* #,##0_-;\-* #,##0_-;_-* "-"??_-;_-@_-</c:formatCode>
                <c:ptCount val="3"/>
                <c:pt idx="0">
                  <c:v>1876</c:v>
                </c:pt>
                <c:pt idx="2">
                  <c:v>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DE-485F-8DC9-C30E64E94110}"/>
            </c:ext>
          </c:extLst>
        </c:ser>
        <c:ser>
          <c:idx val="5"/>
          <c:order val="5"/>
          <c:tx>
            <c:strRef>
              <c:f>Rifiuti!$B$11</c:f>
              <c:strCache>
                <c:ptCount val="1"/>
                <c:pt idx="0">
                  <c:v>13 08 02*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Rifiuti!$E$11:$H$11</c15:sqref>
                  </c15:fullRef>
                </c:ext>
              </c:extLst>
              <c:f>Rifiuti!$E$11:$G$11</c:f>
              <c:numCache>
                <c:formatCode>_-* #,##0_-;\-* #,##0_-;_-* "-"??_-;_-@_-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88DE-485F-8DC9-C30E64E94110}"/>
            </c:ext>
          </c:extLst>
        </c:ser>
        <c:ser>
          <c:idx val="6"/>
          <c:order val="6"/>
          <c:tx>
            <c:strRef>
              <c:f>Rifiuti!$B$12</c:f>
              <c:strCache>
                <c:ptCount val="1"/>
                <c:pt idx="0">
                  <c:v>15 01 01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Rifiuti!$E$12:$H$12</c15:sqref>
                  </c15:fullRef>
                </c:ext>
              </c:extLst>
              <c:f>Rifiuti!$E$12:$G$12</c:f>
              <c:numCache>
                <c:formatCode>_-* #,##0_-;\-* #,##0_-;_-* "-"??_-;_-@_-</c:formatCode>
                <c:ptCount val="3"/>
                <c:pt idx="0">
                  <c:v>37410</c:v>
                </c:pt>
                <c:pt idx="1">
                  <c:v>31030</c:v>
                </c:pt>
                <c:pt idx="2">
                  <c:v>38480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DE-485F-8DC9-C30E64E94110}"/>
            </c:ext>
          </c:extLst>
        </c:ser>
        <c:ser>
          <c:idx val="7"/>
          <c:order val="7"/>
          <c:tx>
            <c:strRef>
              <c:f>Rifiuti!$B$13</c:f>
              <c:strCache>
                <c:ptCount val="1"/>
                <c:pt idx="0">
                  <c:v>15 01 02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Rifiuti!$E$13:$H$13</c15:sqref>
                  </c15:fullRef>
                </c:ext>
              </c:extLst>
              <c:f>Rifiuti!$E$13:$G$13</c:f>
              <c:numCache>
                <c:formatCode>_-* #,##0_-;\-* #,##0_-;_-* "-"??_-;_-@_-</c:formatCode>
                <c:ptCount val="3"/>
                <c:pt idx="0">
                  <c:v>45220</c:v>
                </c:pt>
                <c:pt idx="1">
                  <c:v>35830</c:v>
                </c:pt>
                <c:pt idx="2">
                  <c:v>37140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DE-485F-8DC9-C30E64E94110}"/>
            </c:ext>
          </c:extLst>
        </c:ser>
        <c:ser>
          <c:idx val="8"/>
          <c:order val="8"/>
          <c:tx>
            <c:strRef>
              <c:f>Rifiuti!$B$14</c:f>
              <c:strCache>
                <c:ptCount val="1"/>
                <c:pt idx="0">
                  <c:v>15 01 03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Rifiuti!$E$14:$H$14</c15:sqref>
                  </c15:fullRef>
                </c:ext>
              </c:extLst>
              <c:f>Rifiuti!$E$14:$G$14</c:f>
              <c:numCache>
                <c:formatCode>_-* #,##0_-;\-* #,##0_-;_-* "-"??_-;_-@_-</c:formatCode>
                <c:ptCount val="3"/>
                <c:pt idx="0">
                  <c:v>35120</c:v>
                </c:pt>
                <c:pt idx="1">
                  <c:v>37120</c:v>
                </c:pt>
                <c:pt idx="2">
                  <c:v>37910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DE-485F-8DC9-C30E64E94110}"/>
            </c:ext>
          </c:extLst>
        </c:ser>
        <c:ser>
          <c:idx val="9"/>
          <c:order val="9"/>
          <c:tx>
            <c:strRef>
              <c:f>Rifiuti!$B$16</c:f>
              <c:strCache>
                <c:ptCount val="1"/>
                <c:pt idx="0">
                  <c:v>15 02 02*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Rifiuti!$E$16:$H$16</c15:sqref>
                  </c15:fullRef>
                </c:ext>
              </c:extLst>
              <c:f>Rifiuti!$E$16:$G$16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DE-485F-8DC9-C30E64E94110}"/>
            </c:ext>
          </c:extLst>
        </c:ser>
        <c:ser>
          <c:idx val="10"/>
          <c:order val="10"/>
          <c:tx>
            <c:strRef>
              <c:f>Rifiuti!$B$19</c:f>
              <c:strCache>
                <c:ptCount val="1"/>
                <c:pt idx="0">
                  <c:v>16 01 07*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Rifiuti!$E$19:$H$19</c15:sqref>
                  </c15:fullRef>
                </c:ext>
              </c:extLst>
              <c:f>Rifiuti!$E$19:$G$19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DE-485F-8DC9-C30E64E94110}"/>
            </c:ext>
          </c:extLst>
        </c:ser>
        <c:ser>
          <c:idx val="11"/>
          <c:order val="11"/>
          <c:tx>
            <c:strRef>
              <c:f>Rifiuti!$B$20</c:f>
              <c:strCache>
                <c:ptCount val="1"/>
                <c:pt idx="0">
                  <c:v>16 02 13*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Rifiuti!$E$20:$H$20</c15:sqref>
                  </c15:fullRef>
                </c:ext>
              </c:extLst>
              <c:f>Rifiuti!$E$20:$G$20</c:f>
              <c:numCache>
                <c:formatCode>_-* #,##0_-;\-* #,##0_-;_-* "-"??_-;_-@_-</c:formatCode>
                <c:ptCount val="3"/>
                <c:pt idx="0">
                  <c:v>51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8DE-485F-8DC9-C30E64E94110}"/>
            </c:ext>
          </c:extLst>
        </c:ser>
        <c:ser>
          <c:idx val="12"/>
          <c:order val="12"/>
          <c:tx>
            <c:strRef>
              <c:f>Rifiuti!$B$21</c:f>
              <c:strCache>
                <c:ptCount val="1"/>
                <c:pt idx="0">
                  <c:v>16 02 14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Rifiuti!$E$21:$H$21</c15:sqref>
                  </c15:fullRef>
                </c:ext>
              </c:extLst>
              <c:f>Rifiuti!$E$21:$G$21</c:f>
              <c:numCache>
                <c:formatCode>_-* #,##0_-;\-* #,##0_-;_-* "-"??_-;_-@_-</c:formatCode>
                <c:ptCount val="3"/>
                <c:pt idx="0">
                  <c:v>627</c:v>
                </c:pt>
                <c:pt idx="2">
                  <c:v>6592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8DE-485F-8DC9-C30E64E94110}"/>
            </c:ext>
          </c:extLst>
        </c:ser>
        <c:ser>
          <c:idx val="13"/>
          <c:order val="13"/>
          <c:tx>
            <c:strRef>
              <c:f>Rifiuti!$B$23</c:f>
              <c:strCache>
                <c:ptCount val="1"/>
                <c:pt idx="0">
                  <c:v>16 03 05*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Rifiuti!$E$23:$H$23</c15:sqref>
                  </c15:fullRef>
                </c:ext>
              </c:extLst>
              <c:f>Rifiuti!$E$23:$G$23</c:f>
              <c:numCache>
                <c:formatCode>_-* #,##0_-;\-* #,##0_-;_-* "-"??_-;_-@_-</c:formatCode>
                <c:ptCount val="3"/>
                <c:pt idx="0">
                  <c:v>1681</c:v>
                </c:pt>
                <c:pt idx="1">
                  <c:v>1220</c:v>
                </c:pt>
                <c:pt idx="2">
                  <c:v>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8DE-485F-8DC9-C30E64E94110}"/>
            </c:ext>
          </c:extLst>
        </c:ser>
        <c:ser>
          <c:idx val="14"/>
          <c:order val="14"/>
          <c:tx>
            <c:strRef>
              <c:f>Rifiuti!$B$26</c:f>
              <c:strCache>
                <c:ptCount val="1"/>
                <c:pt idx="0">
                  <c:v>16 05 04*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Rifiuti!$E$26:$H$26</c15:sqref>
                  </c15:fullRef>
                </c:ext>
              </c:extLst>
              <c:f>Rifiuti!$E$26:$G$26</c:f>
              <c:numCache>
                <c:formatCode>_-* #,##0_-;\-* #,##0_-;_-* "-"??_-;_-@_-</c:formatCode>
                <c:ptCount val="3"/>
                <c:pt idx="0">
                  <c:v>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8DE-485F-8DC9-C30E64E94110}"/>
            </c:ext>
          </c:extLst>
        </c:ser>
        <c:ser>
          <c:idx val="15"/>
          <c:order val="15"/>
          <c:tx>
            <c:strRef>
              <c:f>Rifiuti!$B$29</c:f>
              <c:strCache>
                <c:ptCount val="1"/>
                <c:pt idx="0">
                  <c:v>16 06 04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Rifiuti!$E$29:$H$29</c15:sqref>
                  </c15:fullRef>
                </c:ext>
              </c:extLst>
              <c:f>Rifiuti!$E$29:$G$29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8DE-485F-8DC9-C30E64E94110}"/>
            </c:ext>
          </c:extLst>
        </c:ser>
        <c:ser>
          <c:idx val="16"/>
          <c:order val="16"/>
          <c:tx>
            <c:strRef>
              <c:f>Rifiuti!$B$30</c:f>
              <c:strCache>
                <c:ptCount val="1"/>
                <c:pt idx="0">
                  <c:v>16 07 08*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Rifiuti!$E$30:$H$30</c15:sqref>
                  </c15:fullRef>
                </c:ext>
              </c:extLst>
              <c:f>Rifiuti!$E$30:$G$30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8DE-485F-8DC9-C30E64E94110}"/>
            </c:ext>
          </c:extLst>
        </c:ser>
        <c:ser>
          <c:idx val="17"/>
          <c:order val="17"/>
          <c:tx>
            <c:strRef>
              <c:f>Rifiuti!$B$32</c:f>
              <c:strCache>
                <c:ptCount val="1"/>
                <c:pt idx="0">
                  <c:v>17 04 02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Rifiuti!$E$32:$H$32</c15:sqref>
                  </c15:fullRef>
                </c:ext>
              </c:extLst>
              <c:f>Rifiuti!$E$32:$G$32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8DE-485F-8DC9-C30E64E94110}"/>
            </c:ext>
          </c:extLst>
        </c:ser>
        <c:ser>
          <c:idx val="31"/>
          <c:order val="18"/>
          <c:tx>
            <c:strRef>
              <c:f>Rifiuti!$B$33</c:f>
              <c:strCache>
                <c:ptCount val="1"/>
                <c:pt idx="0">
                  <c:v>17 04 05</c:v>
                </c:pt>
              </c:strCache>
            </c:strRef>
          </c:tx>
          <c:spPr>
            <a:solidFill>
              <a:schemeClr val="accent1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Rifiuti!$E$33:$H$33</c15:sqref>
                  </c15:fullRef>
                </c:ext>
              </c:extLst>
              <c:f>Rifiuti!$E$33:$G$33</c:f>
              <c:numCache>
                <c:formatCode>_-* #,##0_-;\-* #,##0_-;_-* "-"??_-;_-@_-</c:formatCode>
                <c:ptCount val="3"/>
                <c:pt idx="0">
                  <c:v>9570</c:v>
                </c:pt>
                <c:pt idx="1">
                  <c:v>10629</c:v>
                </c:pt>
                <c:pt idx="2">
                  <c:v>6340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2-88DE-485F-8DC9-C30E64E94110}"/>
            </c:ext>
          </c:extLst>
        </c:ser>
        <c:ser>
          <c:idx val="18"/>
          <c:order val="19"/>
          <c:tx>
            <c:strRef>
              <c:f>Rifiuti!$B$35</c:f>
              <c:strCache>
                <c:ptCount val="1"/>
                <c:pt idx="0">
                  <c:v>17 05 03*</c:v>
                </c:pt>
              </c:strCache>
            </c:strRef>
          </c:tx>
          <c:spPr>
            <a:solidFill>
              <a:schemeClr val="accent1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Rifiuti!$E$35:$H$35</c15:sqref>
                  </c15:fullRef>
                </c:ext>
              </c:extLst>
              <c:f>Rifiuti!$E$35:$G$35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8DE-485F-8DC9-C30E64E94110}"/>
            </c:ext>
          </c:extLst>
        </c:ser>
        <c:ser>
          <c:idx val="19"/>
          <c:order val="20"/>
          <c:tx>
            <c:strRef>
              <c:f>Rifiuti!$B$36</c:f>
              <c:strCache>
                <c:ptCount val="1"/>
                <c:pt idx="0">
                  <c:v>17 06 03*</c:v>
                </c:pt>
              </c:strCache>
            </c:strRef>
          </c:tx>
          <c:spPr>
            <a:solidFill>
              <a:schemeClr val="accent2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Rifiuti!$E$36:$H$36</c15:sqref>
                  </c15:fullRef>
                </c:ext>
              </c:extLst>
              <c:f>Rifiuti!$E$36:$G$36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8DE-485F-8DC9-C30E64E94110}"/>
            </c:ext>
          </c:extLst>
        </c:ser>
        <c:ser>
          <c:idx val="20"/>
          <c:order val="21"/>
          <c:tx>
            <c:strRef>
              <c:f>Rifiuti!$B$37</c:f>
              <c:strCache>
                <c:ptCount val="1"/>
                <c:pt idx="0">
                  <c:v>17 09 04</c:v>
                </c:pt>
              </c:strCache>
            </c:strRef>
          </c:tx>
          <c:spPr>
            <a:solidFill>
              <a:schemeClr val="accent3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Rifiuti!$E$37:$H$37</c15:sqref>
                  </c15:fullRef>
                </c:ext>
              </c:extLst>
              <c:f>Rifiuti!$E$37:$G$37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8DE-485F-8DC9-C30E64E94110}"/>
            </c:ext>
          </c:extLst>
        </c:ser>
        <c:ser>
          <c:idx val="21"/>
          <c:order val="22"/>
          <c:tx>
            <c:strRef>
              <c:f>Rifiuti!$B$39</c:f>
              <c:strCache>
                <c:ptCount val="1"/>
                <c:pt idx="0">
                  <c:v>20 01 21*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Rifiuti!$E$39:$H$39</c15:sqref>
                  </c15:fullRef>
                </c:ext>
              </c:extLst>
              <c:f>Rifiuti!$E$39:$G$39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8DE-485F-8DC9-C30E64E9411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7995168"/>
        <c:axId val="327995560"/>
        <c:extLst/>
      </c:barChart>
      <c:catAx>
        <c:axId val="3279951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27995560"/>
        <c:crosses val="autoZero"/>
        <c:auto val="1"/>
        <c:lblAlgn val="ctr"/>
        <c:lblOffset val="100"/>
        <c:noMultiLvlLbl val="0"/>
      </c:catAx>
      <c:valAx>
        <c:axId val="32799556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799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4111111111111111E-2"/>
          <c:y val="7.9038194444444446E-2"/>
          <c:w val="0.14055918803418804"/>
          <c:h val="0.8770729166666666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kg smaltiti per Codice CER - 2027</a:t>
            </a:r>
          </a:p>
          <a:p>
            <a:pPr>
              <a:defRPr/>
            </a:pPr>
            <a:endParaRPr lang="it-IT"/>
          </a:p>
        </c:rich>
      </c:tx>
      <c:layout>
        <c:manualLayout>
          <c:xMode val="edge"/>
          <c:yMode val="edge"/>
          <c:x val="0.16698850152854181"/>
          <c:y val="1.4432299941830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Rifiuti!$B$5</c:f>
              <c:strCache>
                <c:ptCount val="1"/>
                <c:pt idx="0">
                  <c:v>04 02 20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Rifiuti!$E$5:$H$5</c15:sqref>
                  </c15:fullRef>
                </c:ext>
              </c:extLst>
              <c:f>Rifiuti!$E$5:$G$5</c:f>
              <c:numCache>
                <c:formatCode>_-* #,##0_-;\-* #,##0_-;_-* "-"??_-;_-@_-</c:formatCode>
                <c:ptCount val="3"/>
                <c:pt idx="0">
                  <c:v>559930</c:v>
                </c:pt>
                <c:pt idx="1">
                  <c:v>371245</c:v>
                </c:pt>
                <c:pt idx="2">
                  <c:v>269045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2F-48BE-B71C-023A0F880F3D}"/>
            </c:ext>
          </c:extLst>
        </c:ser>
        <c:ser>
          <c:idx val="1"/>
          <c:order val="1"/>
          <c:tx>
            <c:strRef>
              <c:f>Rifiuti!$B$7</c:f>
              <c:strCache>
                <c:ptCount val="1"/>
                <c:pt idx="0">
                  <c:v>04 02 22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Rifiuti!$E$7:$H$7</c15:sqref>
                  </c15:fullRef>
                </c:ext>
              </c:extLst>
              <c:f>Rifiuti!$E$7:$G$7</c:f>
              <c:numCache>
                <c:formatCode>_-* #,##0_-;\-* #,##0_-;_-* "-"??_-;_-@_-</c:formatCode>
                <c:ptCount val="3"/>
                <c:pt idx="0">
                  <c:v>151110</c:v>
                </c:pt>
                <c:pt idx="1">
                  <c:v>139210</c:v>
                </c:pt>
                <c:pt idx="2">
                  <c:v>140000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2F-48BE-B71C-023A0F880F3D}"/>
            </c:ext>
          </c:extLst>
        </c:ser>
        <c:ser>
          <c:idx val="2"/>
          <c:order val="2"/>
          <c:tx>
            <c:strRef>
              <c:f>Rifiuti!$B$8</c:f>
              <c:strCache>
                <c:ptCount val="1"/>
                <c:pt idx="0">
                  <c:v>08 01 11*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Rifiuti!$E$8:$H$8</c15:sqref>
                  </c15:fullRef>
                </c:ext>
              </c:extLst>
              <c:f>Rifiuti!$E$8:$G$8</c:f>
              <c:numCache>
                <c:formatCode>_-* #,##0_-;\-* #,##0_-;_-* "-"??_-;_-@_-</c:formatCode>
                <c:ptCount val="3"/>
                <c:pt idx="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2F-48BE-B71C-023A0F880F3D}"/>
            </c:ext>
          </c:extLst>
        </c:ser>
        <c:ser>
          <c:idx val="3"/>
          <c:order val="3"/>
          <c:tx>
            <c:strRef>
              <c:f>Rifiuti!$B$9</c:f>
              <c:strCache>
                <c:ptCount val="1"/>
                <c:pt idx="0">
                  <c:v>08 03 18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Rifiuti!$E$9:$H$9</c15:sqref>
                  </c15:fullRef>
                </c:ext>
              </c:extLst>
              <c:f>Rifiuti!$E$9:$G$9</c:f>
              <c:numCache>
                <c:formatCode>_-* #,##0_-;\-* #,##0_-;_-* "-"??_-;_-@_-</c:formatCode>
                <c:ptCount val="3"/>
                <c:pt idx="0">
                  <c:v>31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2F-48BE-B71C-023A0F880F3D}"/>
            </c:ext>
          </c:extLst>
        </c:ser>
        <c:ser>
          <c:idx val="4"/>
          <c:order val="4"/>
          <c:tx>
            <c:strRef>
              <c:f>Rifiuti!$B$10</c:f>
              <c:strCache>
                <c:ptCount val="1"/>
                <c:pt idx="0">
                  <c:v>13 02 08*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Rifiuti!$E$10:$H$10</c15:sqref>
                  </c15:fullRef>
                </c:ext>
              </c:extLst>
              <c:f>Rifiuti!$E$10:$G$10</c:f>
              <c:numCache>
                <c:formatCode>_-* #,##0_-;\-* #,##0_-;_-* "-"??_-;_-@_-</c:formatCode>
                <c:ptCount val="3"/>
                <c:pt idx="0">
                  <c:v>1876</c:v>
                </c:pt>
                <c:pt idx="2">
                  <c:v>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2F-48BE-B71C-023A0F880F3D}"/>
            </c:ext>
          </c:extLst>
        </c:ser>
        <c:ser>
          <c:idx val="5"/>
          <c:order val="5"/>
          <c:tx>
            <c:strRef>
              <c:f>Rifiuti!$B$11</c:f>
              <c:strCache>
                <c:ptCount val="1"/>
                <c:pt idx="0">
                  <c:v>13 08 02*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Rifiuti!$E$11:$H$11</c15:sqref>
                  </c15:fullRef>
                </c:ext>
              </c:extLst>
              <c:f>Rifiuti!$E$11:$G$11</c:f>
              <c:numCache>
                <c:formatCode>_-* #,##0_-;\-* #,##0_-;_-* "-"??_-;_-@_-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532F-48BE-B71C-023A0F880F3D}"/>
            </c:ext>
          </c:extLst>
        </c:ser>
        <c:ser>
          <c:idx val="6"/>
          <c:order val="6"/>
          <c:tx>
            <c:strRef>
              <c:f>Rifiuti!$B$12</c:f>
              <c:strCache>
                <c:ptCount val="1"/>
                <c:pt idx="0">
                  <c:v>15 01 01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Rifiuti!$E$12:$H$12</c15:sqref>
                  </c15:fullRef>
                </c:ext>
              </c:extLst>
              <c:f>Rifiuti!$E$12:$G$12</c:f>
              <c:numCache>
                <c:formatCode>_-* #,##0_-;\-* #,##0_-;_-* "-"??_-;_-@_-</c:formatCode>
                <c:ptCount val="3"/>
                <c:pt idx="0">
                  <c:v>37410</c:v>
                </c:pt>
                <c:pt idx="1">
                  <c:v>31030</c:v>
                </c:pt>
                <c:pt idx="2">
                  <c:v>38480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2F-48BE-B71C-023A0F880F3D}"/>
            </c:ext>
          </c:extLst>
        </c:ser>
        <c:ser>
          <c:idx val="7"/>
          <c:order val="7"/>
          <c:tx>
            <c:strRef>
              <c:f>Rifiuti!$B$13</c:f>
              <c:strCache>
                <c:ptCount val="1"/>
                <c:pt idx="0">
                  <c:v>15 01 02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Rifiuti!$E$13:$H$13</c15:sqref>
                  </c15:fullRef>
                </c:ext>
              </c:extLst>
              <c:f>Rifiuti!$E$13:$G$13</c:f>
              <c:numCache>
                <c:formatCode>_-* #,##0_-;\-* #,##0_-;_-* "-"??_-;_-@_-</c:formatCode>
                <c:ptCount val="3"/>
                <c:pt idx="0">
                  <c:v>45220</c:v>
                </c:pt>
                <c:pt idx="1">
                  <c:v>35830</c:v>
                </c:pt>
                <c:pt idx="2">
                  <c:v>37140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2F-48BE-B71C-023A0F880F3D}"/>
            </c:ext>
          </c:extLst>
        </c:ser>
        <c:ser>
          <c:idx val="8"/>
          <c:order val="8"/>
          <c:tx>
            <c:strRef>
              <c:f>Rifiuti!$B$14</c:f>
              <c:strCache>
                <c:ptCount val="1"/>
                <c:pt idx="0">
                  <c:v>15 01 03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Rifiuti!$E$14:$H$14</c15:sqref>
                  </c15:fullRef>
                </c:ext>
              </c:extLst>
              <c:f>Rifiuti!$E$14:$G$14</c:f>
              <c:numCache>
                <c:formatCode>_-* #,##0_-;\-* #,##0_-;_-* "-"??_-;_-@_-</c:formatCode>
                <c:ptCount val="3"/>
                <c:pt idx="0">
                  <c:v>35120</c:v>
                </c:pt>
                <c:pt idx="1">
                  <c:v>37120</c:v>
                </c:pt>
                <c:pt idx="2">
                  <c:v>37910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2F-48BE-B71C-023A0F880F3D}"/>
            </c:ext>
          </c:extLst>
        </c:ser>
        <c:ser>
          <c:idx val="9"/>
          <c:order val="9"/>
          <c:tx>
            <c:strRef>
              <c:f>Rifiuti!$B$16</c:f>
              <c:strCache>
                <c:ptCount val="1"/>
                <c:pt idx="0">
                  <c:v>15 02 02*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Rifiuti!$E$16:$H$16</c15:sqref>
                  </c15:fullRef>
                </c:ext>
              </c:extLst>
              <c:f>Rifiuti!$E$16:$G$16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32F-48BE-B71C-023A0F880F3D}"/>
            </c:ext>
          </c:extLst>
        </c:ser>
        <c:ser>
          <c:idx val="10"/>
          <c:order val="10"/>
          <c:tx>
            <c:strRef>
              <c:f>Rifiuti!$B$19</c:f>
              <c:strCache>
                <c:ptCount val="1"/>
                <c:pt idx="0">
                  <c:v>16 01 07*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Rifiuti!$E$19:$H$19</c15:sqref>
                  </c15:fullRef>
                </c:ext>
              </c:extLst>
              <c:f>Rifiuti!$E$19:$G$19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2F-48BE-B71C-023A0F880F3D}"/>
            </c:ext>
          </c:extLst>
        </c:ser>
        <c:ser>
          <c:idx val="11"/>
          <c:order val="11"/>
          <c:tx>
            <c:strRef>
              <c:f>Rifiuti!$B$20</c:f>
              <c:strCache>
                <c:ptCount val="1"/>
                <c:pt idx="0">
                  <c:v>16 02 13*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Rifiuti!$E$20:$H$20</c15:sqref>
                  </c15:fullRef>
                </c:ext>
              </c:extLst>
              <c:f>Rifiuti!$E$20:$G$20</c:f>
              <c:numCache>
                <c:formatCode>_-* #,##0_-;\-* #,##0_-;_-* "-"??_-;_-@_-</c:formatCode>
                <c:ptCount val="3"/>
                <c:pt idx="0">
                  <c:v>51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2F-48BE-B71C-023A0F880F3D}"/>
            </c:ext>
          </c:extLst>
        </c:ser>
        <c:ser>
          <c:idx val="12"/>
          <c:order val="12"/>
          <c:tx>
            <c:strRef>
              <c:f>Rifiuti!$B$21</c:f>
              <c:strCache>
                <c:ptCount val="1"/>
                <c:pt idx="0">
                  <c:v>16 02 14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Rifiuti!$E$21:$H$21</c15:sqref>
                  </c15:fullRef>
                </c:ext>
              </c:extLst>
              <c:f>Rifiuti!$E$21:$G$21</c:f>
              <c:numCache>
                <c:formatCode>_-* #,##0_-;\-* #,##0_-;_-* "-"??_-;_-@_-</c:formatCode>
                <c:ptCount val="3"/>
                <c:pt idx="0">
                  <c:v>627</c:v>
                </c:pt>
                <c:pt idx="2">
                  <c:v>6592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2F-48BE-B71C-023A0F880F3D}"/>
            </c:ext>
          </c:extLst>
        </c:ser>
        <c:ser>
          <c:idx val="13"/>
          <c:order val="13"/>
          <c:tx>
            <c:strRef>
              <c:f>Rifiuti!$B$23</c:f>
              <c:strCache>
                <c:ptCount val="1"/>
                <c:pt idx="0">
                  <c:v>16 03 05*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Rifiuti!$E$23:$H$23</c15:sqref>
                  </c15:fullRef>
                </c:ext>
              </c:extLst>
              <c:f>Rifiuti!$E$23:$G$23</c:f>
              <c:numCache>
                <c:formatCode>_-* #,##0_-;\-* #,##0_-;_-* "-"??_-;_-@_-</c:formatCode>
                <c:ptCount val="3"/>
                <c:pt idx="0">
                  <c:v>1681</c:v>
                </c:pt>
                <c:pt idx="1">
                  <c:v>1220</c:v>
                </c:pt>
                <c:pt idx="2">
                  <c:v>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32F-48BE-B71C-023A0F880F3D}"/>
            </c:ext>
          </c:extLst>
        </c:ser>
        <c:ser>
          <c:idx val="14"/>
          <c:order val="14"/>
          <c:tx>
            <c:strRef>
              <c:f>Rifiuti!$B$26</c:f>
              <c:strCache>
                <c:ptCount val="1"/>
                <c:pt idx="0">
                  <c:v>16 05 04*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Rifiuti!$E$26:$H$26</c15:sqref>
                  </c15:fullRef>
                </c:ext>
              </c:extLst>
              <c:f>Rifiuti!$E$26:$G$26</c:f>
              <c:numCache>
                <c:formatCode>_-* #,##0_-;\-* #,##0_-;_-* "-"??_-;_-@_-</c:formatCode>
                <c:ptCount val="3"/>
                <c:pt idx="0">
                  <c:v>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2F-48BE-B71C-023A0F880F3D}"/>
            </c:ext>
          </c:extLst>
        </c:ser>
        <c:ser>
          <c:idx val="15"/>
          <c:order val="15"/>
          <c:tx>
            <c:strRef>
              <c:f>Rifiuti!$B$29</c:f>
              <c:strCache>
                <c:ptCount val="1"/>
                <c:pt idx="0">
                  <c:v>16 06 04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Rifiuti!$E$29:$H$29</c15:sqref>
                  </c15:fullRef>
                </c:ext>
              </c:extLst>
              <c:f>Rifiuti!$E$29:$G$29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32F-48BE-B71C-023A0F880F3D}"/>
            </c:ext>
          </c:extLst>
        </c:ser>
        <c:ser>
          <c:idx val="16"/>
          <c:order val="16"/>
          <c:tx>
            <c:strRef>
              <c:f>Rifiuti!$B$30</c:f>
              <c:strCache>
                <c:ptCount val="1"/>
                <c:pt idx="0">
                  <c:v>16 07 08*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Rifiuti!$E$30:$H$30</c15:sqref>
                  </c15:fullRef>
                </c:ext>
              </c:extLst>
              <c:f>Rifiuti!$E$30:$G$30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32F-48BE-B71C-023A0F880F3D}"/>
            </c:ext>
          </c:extLst>
        </c:ser>
        <c:ser>
          <c:idx val="17"/>
          <c:order val="17"/>
          <c:tx>
            <c:strRef>
              <c:f>Rifiuti!$B$32</c:f>
              <c:strCache>
                <c:ptCount val="1"/>
                <c:pt idx="0">
                  <c:v>17 04 02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Rifiuti!$E$32:$H$32</c15:sqref>
                  </c15:fullRef>
                </c:ext>
              </c:extLst>
              <c:f>Rifiuti!$E$32:$G$32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2F-48BE-B71C-023A0F880F3D}"/>
            </c:ext>
          </c:extLst>
        </c:ser>
        <c:ser>
          <c:idx val="31"/>
          <c:order val="18"/>
          <c:tx>
            <c:strRef>
              <c:f>Rifiuti!$B$33</c:f>
              <c:strCache>
                <c:ptCount val="1"/>
                <c:pt idx="0">
                  <c:v>17 04 05</c:v>
                </c:pt>
              </c:strCache>
            </c:strRef>
          </c:tx>
          <c:spPr>
            <a:solidFill>
              <a:schemeClr val="accent1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Rifiuti!$E$33:$H$33</c15:sqref>
                  </c15:fullRef>
                </c:ext>
              </c:extLst>
              <c:f>Rifiuti!$E$33:$G$33</c:f>
              <c:numCache>
                <c:formatCode>_-* #,##0_-;\-* #,##0_-;_-* "-"??_-;_-@_-</c:formatCode>
                <c:ptCount val="3"/>
                <c:pt idx="0">
                  <c:v>9570</c:v>
                </c:pt>
                <c:pt idx="1">
                  <c:v>10629</c:v>
                </c:pt>
                <c:pt idx="2">
                  <c:v>6340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2-532F-48BE-B71C-023A0F880F3D}"/>
            </c:ext>
          </c:extLst>
        </c:ser>
        <c:ser>
          <c:idx val="18"/>
          <c:order val="19"/>
          <c:tx>
            <c:strRef>
              <c:f>Rifiuti!$B$35</c:f>
              <c:strCache>
                <c:ptCount val="1"/>
                <c:pt idx="0">
                  <c:v>17 05 03*</c:v>
                </c:pt>
              </c:strCache>
            </c:strRef>
          </c:tx>
          <c:spPr>
            <a:solidFill>
              <a:schemeClr val="accent1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Rifiuti!$E$35:$H$35</c15:sqref>
                  </c15:fullRef>
                </c:ext>
              </c:extLst>
              <c:f>Rifiuti!$E$35:$G$35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32F-48BE-B71C-023A0F880F3D}"/>
            </c:ext>
          </c:extLst>
        </c:ser>
        <c:ser>
          <c:idx val="19"/>
          <c:order val="20"/>
          <c:tx>
            <c:strRef>
              <c:f>Rifiuti!$B$36</c:f>
              <c:strCache>
                <c:ptCount val="1"/>
                <c:pt idx="0">
                  <c:v>17 06 03*</c:v>
                </c:pt>
              </c:strCache>
            </c:strRef>
          </c:tx>
          <c:spPr>
            <a:solidFill>
              <a:schemeClr val="accent2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Rifiuti!$E$36:$H$36</c15:sqref>
                  </c15:fullRef>
                </c:ext>
              </c:extLst>
              <c:f>Rifiuti!$E$36:$G$36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32F-48BE-B71C-023A0F880F3D}"/>
            </c:ext>
          </c:extLst>
        </c:ser>
        <c:ser>
          <c:idx val="20"/>
          <c:order val="21"/>
          <c:tx>
            <c:strRef>
              <c:f>Rifiuti!$B$37</c:f>
              <c:strCache>
                <c:ptCount val="1"/>
                <c:pt idx="0">
                  <c:v>17 09 04</c:v>
                </c:pt>
              </c:strCache>
            </c:strRef>
          </c:tx>
          <c:spPr>
            <a:solidFill>
              <a:schemeClr val="accent3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Rifiuti!$E$37:$H$37</c15:sqref>
                  </c15:fullRef>
                </c:ext>
              </c:extLst>
              <c:f>Rifiuti!$E$37:$G$37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32F-48BE-B71C-023A0F880F3D}"/>
            </c:ext>
          </c:extLst>
        </c:ser>
        <c:ser>
          <c:idx val="21"/>
          <c:order val="22"/>
          <c:tx>
            <c:strRef>
              <c:f>Rifiuti!$B$39</c:f>
              <c:strCache>
                <c:ptCount val="1"/>
                <c:pt idx="0">
                  <c:v>20 01 21*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Rifiuti!$E$39:$H$39</c15:sqref>
                  </c15:fullRef>
                </c:ext>
              </c:extLst>
              <c:f>Rifiuti!$E$39:$G$39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32F-48BE-B71C-023A0F880F3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7995168"/>
        <c:axId val="327995560"/>
        <c:extLst/>
      </c:barChart>
      <c:catAx>
        <c:axId val="3279951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27995560"/>
        <c:crosses val="autoZero"/>
        <c:auto val="1"/>
        <c:lblAlgn val="ctr"/>
        <c:lblOffset val="100"/>
        <c:noMultiLvlLbl val="0"/>
      </c:catAx>
      <c:valAx>
        <c:axId val="32799556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799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4111111111111111E-2"/>
          <c:y val="7.9038194444444446E-2"/>
          <c:w val="0.14055918803418804"/>
          <c:h val="0.8770729166666666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Produzione!$B$2</c:f>
              <c:strCache>
                <c:ptCount val="1"/>
                <c:pt idx="0">
                  <c:v>Trattamento irrestringibile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Produzione!$A$4:$A$7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Produzione!$B$4:$B$7</c:f>
              <c:numCache>
                <c:formatCode>#,##0</c:formatCode>
                <c:ptCount val="4"/>
                <c:pt idx="0">
                  <c:v>3626178</c:v>
                </c:pt>
                <c:pt idx="1">
                  <c:v>2802252</c:v>
                </c:pt>
                <c:pt idx="2">
                  <c:v>2583506</c:v>
                </c:pt>
                <c:pt idx="3">
                  <c:v>2863066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D2-402F-B6E7-E2DB50507C48}"/>
            </c:ext>
          </c:extLst>
        </c:ser>
        <c:ser>
          <c:idx val="1"/>
          <c:order val="1"/>
          <c:tx>
            <c:strRef>
              <c:f>Produzione!$C$2</c:f>
              <c:strCache>
                <c:ptCount val="1"/>
                <c:pt idx="0">
                  <c:v>Tintoria tops e stampa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Produzione!$A$4:$A$7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Produzione!$C$4:$C$7</c:f>
              <c:numCache>
                <c:formatCode>#,##0</c:formatCode>
                <c:ptCount val="4"/>
                <c:pt idx="0">
                  <c:v>3062326</c:v>
                </c:pt>
                <c:pt idx="1">
                  <c:v>2736021</c:v>
                </c:pt>
                <c:pt idx="2">
                  <c:v>2569265</c:v>
                </c:pt>
                <c:pt idx="3">
                  <c:v>2504693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D2-402F-B6E7-E2DB50507C48}"/>
            </c:ext>
          </c:extLst>
        </c:ser>
        <c:ser>
          <c:idx val="2"/>
          <c:order val="2"/>
          <c:tx>
            <c:strRef>
              <c:f>Produzione!$D$2</c:f>
              <c:strCache>
                <c:ptCount val="1"/>
                <c:pt idx="0">
                  <c:v>Tintoria Rocche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Produzione!$A$4:$A$7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Produzione!$D$4:$D$7</c:f>
              <c:numCache>
                <c:formatCode>#,##0</c:formatCode>
                <c:ptCount val="4"/>
                <c:pt idx="0">
                  <c:v>1712108</c:v>
                </c:pt>
                <c:pt idx="1">
                  <c:v>1511733</c:v>
                </c:pt>
                <c:pt idx="2">
                  <c:v>1416465</c:v>
                </c:pt>
                <c:pt idx="3">
                  <c:v>1349406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D2-402F-B6E7-E2DB50507C48}"/>
            </c:ext>
          </c:extLst>
        </c:ser>
        <c:ser>
          <c:idx val="3"/>
          <c:order val="3"/>
          <c:tx>
            <c:strRef>
              <c:f>Produzione!$E$2</c:f>
              <c:strCache>
                <c:ptCount val="1"/>
                <c:pt idx="0">
                  <c:v>Tintoria Matasse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Produzione!$A$4:$A$7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Produzione!$E$4:$E$7</c:f>
              <c:numCache>
                <c:formatCode>#,##0</c:formatCode>
                <c:ptCount val="4"/>
                <c:pt idx="0">
                  <c:v>574496</c:v>
                </c:pt>
                <c:pt idx="1">
                  <c:v>567620</c:v>
                </c:pt>
                <c:pt idx="2">
                  <c:v>487904</c:v>
                </c:pt>
                <c:pt idx="3">
                  <c:v>508445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D2-402F-B6E7-E2DB50507C48}"/>
            </c:ext>
          </c:extLst>
        </c:ser>
        <c:ser>
          <c:idx val="4"/>
          <c:order val="4"/>
          <c:tx>
            <c:strRef>
              <c:f>Produzione!$F$2</c:f>
              <c:strCache>
                <c:ptCount val="1"/>
                <c:pt idx="0">
                  <c:v>Tot .prodotto tinto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Produzione!$A$4:$A$7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Produzione!$F$4:$F$7</c:f>
              <c:numCache>
                <c:formatCode>#,##0</c:formatCode>
                <c:ptCount val="4"/>
                <c:pt idx="0">
                  <c:v>5348930</c:v>
                </c:pt>
                <c:pt idx="1">
                  <c:v>4815374</c:v>
                </c:pt>
                <c:pt idx="2">
                  <c:v>4473634</c:v>
                </c:pt>
                <c:pt idx="3">
                  <c:v>4362544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D2-402F-B6E7-E2DB50507C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7727104"/>
        <c:axId val="147728640"/>
      </c:barChart>
      <c:catAx>
        <c:axId val="1477271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7728640"/>
        <c:crosses val="autoZero"/>
        <c:auto val="1"/>
        <c:lblAlgn val="ctr"/>
        <c:lblOffset val="100"/>
        <c:noMultiLvlLbl val="0"/>
      </c:catAx>
      <c:valAx>
        <c:axId val="1477286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7727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PRELIEVO IDRICO RELATIVO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08F-4303-9EA7-3D2E402466D9}"/>
            </c:ext>
          </c:extLst>
        </c:ser>
        <c:ser>
          <c:idx val="3"/>
          <c:order val="1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08F-4303-9EA7-3D2E402466D9}"/>
            </c:ext>
          </c:extLst>
        </c:ser>
        <c:ser>
          <c:idx val="4"/>
          <c:order val="2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08F-4303-9EA7-3D2E40246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100352"/>
        <c:axId val="142106624"/>
      </c:lineChart>
      <c:catAx>
        <c:axId val="14210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4210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106624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421003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RIPARTIZIONE CONSUMI IDRICI</a:t>
            </a:r>
          </a:p>
        </c:rich>
      </c:tx>
      <c:layout>
        <c:manualLayout>
          <c:xMode val="edge"/>
          <c:yMode val="edge"/>
          <c:x val="0.6618896813722460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694670056006797"/>
          <c:y val="7.0758127715838171E-2"/>
          <c:w val="0.64678033356066755"/>
          <c:h val="0.809071157540992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'Approvvigionamento idrico'!$A$75:$A$76</c:f>
              <c:strCache>
                <c:ptCount val="1"/>
                <c:pt idx="0">
                  <c:v>Trattamento irrestringibile</c:v>
                </c:pt>
              </c:strCache>
            </c:strRef>
          </c:tx>
          <c:invertIfNegative val="0"/>
          <c:cat>
            <c:strRef>
              <c:f>'Approvvigionamento idrico'!$C$74:$E$74</c:f>
              <c:strCach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strCache>
            </c:strRef>
          </c:cat>
          <c:val>
            <c:numRef>
              <c:f>'Approvvigionamento idrico'!$C$76:$E$76</c:f>
              <c:numCache>
                <c:formatCode>#,##0</c:formatCode>
                <c:ptCount val="3"/>
                <c:pt idx="0">
                  <c:v>126772</c:v>
                </c:pt>
                <c:pt idx="1">
                  <c:v>116693.20000000001</c:v>
                </c:pt>
                <c:pt idx="2">
                  <c:v>127299.40000000001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4-4BA7-BDA1-1F192D27A39C}"/>
            </c:ext>
          </c:extLst>
        </c:ser>
        <c:ser>
          <c:idx val="1"/>
          <c:order val="1"/>
          <c:tx>
            <c:strRef>
              <c:f>'Approvvigionamento idrico'!$A$81:$A$82</c:f>
              <c:strCache>
                <c:ptCount val="1"/>
                <c:pt idx="0">
                  <c:v>Tintoria matasse</c:v>
                </c:pt>
              </c:strCache>
            </c:strRef>
          </c:tx>
          <c:invertIfNegative val="0"/>
          <c:cat>
            <c:strRef>
              <c:f>'Approvvigionamento idrico'!$C$74:$E$74</c:f>
              <c:strCach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strCache>
            </c:strRef>
          </c:cat>
          <c:val>
            <c:numRef>
              <c:f>'Approvvigionamento idrico'!$C$82:$E$82</c:f>
              <c:numCache>
                <c:formatCode>#,##0</c:formatCode>
                <c:ptCount val="3"/>
                <c:pt idx="0">
                  <c:v>95079</c:v>
                </c:pt>
                <c:pt idx="1">
                  <c:v>87519.9</c:v>
                </c:pt>
                <c:pt idx="2">
                  <c:v>95474.55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E4-4BA7-BDA1-1F192D27A39C}"/>
            </c:ext>
          </c:extLst>
        </c:ser>
        <c:ser>
          <c:idx val="2"/>
          <c:order val="2"/>
          <c:tx>
            <c:strRef>
              <c:f>'Approvvigionamento idrico'!$A$77:$A$78</c:f>
              <c:strCache>
                <c:ptCount val="1"/>
                <c:pt idx="0">
                  <c:v>Tintoria tops e stampa</c:v>
                </c:pt>
              </c:strCache>
            </c:strRef>
          </c:tx>
          <c:invertIfNegative val="0"/>
          <c:cat>
            <c:strRef>
              <c:f>'Approvvigionamento idrico'!$C$74:$E$74</c:f>
              <c:strCach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strCache>
            </c:strRef>
          </c:cat>
          <c:val>
            <c:numRef>
              <c:f>'Approvvigionamento idrico'!$C$78:$E$78</c:f>
              <c:numCache>
                <c:formatCode>#,##0</c:formatCode>
                <c:ptCount val="3"/>
                <c:pt idx="0">
                  <c:v>190158</c:v>
                </c:pt>
                <c:pt idx="1">
                  <c:v>175039.8</c:v>
                </c:pt>
                <c:pt idx="2">
                  <c:v>190949.1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E4-4BA7-BDA1-1F192D27A39C}"/>
            </c:ext>
          </c:extLst>
        </c:ser>
        <c:ser>
          <c:idx val="3"/>
          <c:order val="3"/>
          <c:tx>
            <c:strRef>
              <c:f>'Approvvigionamento idrico'!$A$79:$A$80</c:f>
              <c:strCache>
                <c:ptCount val="1"/>
                <c:pt idx="0">
                  <c:v>Tintoria rocche</c:v>
                </c:pt>
              </c:strCache>
            </c:strRef>
          </c:tx>
          <c:invertIfNegative val="0"/>
          <c:cat>
            <c:strRef>
              <c:f>'Approvvigionamento idrico'!$C$74:$E$74</c:f>
              <c:strCach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strCache>
            </c:strRef>
          </c:cat>
          <c:val>
            <c:numRef>
              <c:f>'Approvvigionamento idrico'!$C$80:$E$80</c:f>
              <c:numCache>
                <c:formatCode>#,##0</c:formatCode>
                <c:ptCount val="3"/>
                <c:pt idx="0">
                  <c:v>221851</c:v>
                </c:pt>
                <c:pt idx="1">
                  <c:v>204213.09999999998</c:v>
                </c:pt>
                <c:pt idx="2">
                  <c:v>222773.94999999998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E4-4BA7-BDA1-1F192D27A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159872"/>
        <c:axId val="142161408"/>
      </c:barChart>
      <c:catAx>
        <c:axId val="1421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42161408"/>
        <c:crosses val="autoZero"/>
        <c:auto val="1"/>
        <c:lblAlgn val="ctr"/>
        <c:lblOffset val="100"/>
        <c:noMultiLvlLbl val="0"/>
      </c:catAx>
      <c:valAx>
        <c:axId val="142161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t-IT"/>
                  <a:t>mc/anno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42159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3475939133986"/>
          <c:y val="0.16256271244782938"/>
          <c:w val="0.18705398088975117"/>
          <c:h val="0.8374372875521707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ATTINGIMENTO IDRICO</a:t>
            </a:r>
          </a:p>
        </c:rich>
      </c:tx>
      <c:layout>
        <c:manualLayout>
          <c:xMode val="edge"/>
          <c:yMode val="edge"/>
          <c:x val="0.7444096133751315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630258600120124"/>
          <c:y val="7.917833187518232E-2"/>
          <c:w val="0.6615563728515127"/>
          <c:h val="0.770447287839020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'Approvvigionamento idrico'!$A$69</c:f>
              <c:strCache>
                <c:ptCount val="1"/>
                <c:pt idx="0">
                  <c:v>Acqua ad uso industriale</c:v>
                </c:pt>
              </c:strCache>
            </c:strRef>
          </c:tx>
          <c:invertIfNegative val="0"/>
          <c:cat>
            <c:strRef>
              <c:f>'Approvvigionamento idrico'!$C$68:$F$68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strCache>
            </c:strRef>
          </c:cat>
          <c:val>
            <c:numRef>
              <c:f>'Approvvigionamento idrico'!$C$69:$F$69</c:f>
              <c:numCache>
                <c:formatCode>#,##0</c:formatCode>
                <c:ptCount val="4"/>
                <c:pt idx="0">
                  <c:v>633860</c:v>
                </c:pt>
                <c:pt idx="1">
                  <c:v>583466</c:v>
                </c:pt>
                <c:pt idx="2">
                  <c:v>636497</c:v>
                </c:pt>
                <c:pt idx="3">
                  <c:v>683689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5-4C36-8C99-6BDA319099B6}"/>
            </c:ext>
          </c:extLst>
        </c:ser>
        <c:ser>
          <c:idx val="1"/>
          <c:order val="1"/>
          <c:tx>
            <c:strRef>
              <c:f>'Approvvigionamento idrico'!$A$70</c:f>
              <c:strCache>
                <c:ptCount val="1"/>
                <c:pt idx="0">
                  <c:v>Acquedotto</c:v>
                </c:pt>
              </c:strCache>
            </c:strRef>
          </c:tx>
          <c:invertIfNegative val="0"/>
          <c:cat>
            <c:strRef>
              <c:f>'Approvvigionamento idrico'!$C$68:$F$68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strCache>
            </c:strRef>
          </c:cat>
          <c:val>
            <c:numRef>
              <c:f>'Approvvigionamento idrico'!$C$70:$F$70</c:f>
              <c:numCache>
                <c:formatCode>#,##0</c:formatCode>
                <c:ptCount val="4"/>
                <c:pt idx="0">
                  <c:v>1500</c:v>
                </c:pt>
                <c:pt idx="1">
                  <c:v>1500</c:v>
                </c:pt>
                <c:pt idx="2">
                  <c:v>3295</c:v>
                </c:pt>
                <c:pt idx="3">
                  <c:v>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65-4C36-8C99-6BDA319099B6}"/>
            </c:ext>
          </c:extLst>
        </c:ser>
        <c:ser>
          <c:idx val="2"/>
          <c:order val="2"/>
          <c:tx>
            <c:strRef>
              <c:f>'Approvvigionamento idrico'!$A$71</c:f>
              <c:strCache>
                <c:ptCount val="1"/>
                <c:pt idx="0">
                  <c:v>Ricircolo acque di raffreddamento</c:v>
                </c:pt>
              </c:strCache>
            </c:strRef>
          </c:tx>
          <c:invertIfNegative val="0"/>
          <c:cat>
            <c:strRef>
              <c:f>'Approvvigionamento idrico'!$C$68:$F$68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strCache>
            </c:strRef>
          </c:cat>
          <c:val>
            <c:numRef>
              <c:f>'Approvvigionamento idrico'!$C$71:$F$71</c:f>
              <c:numCache>
                <c:formatCode>#,##0</c:formatCode>
                <c:ptCount val="4"/>
                <c:pt idx="0">
                  <c:v>115258</c:v>
                </c:pt>
                <c:pt idx="1">
                  <c:v>145879</c:v>
                </c:pt>
                <c:pt idx="2">
                  <c:v>203640</c:v>
                </c:pt>
                <c:pt idx="3">
                  <c:v>213454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1-4E80-80E7-43FAE2852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189696"/>
        <c:axId val="142191232"/>
      </c:barChart>
      <c:catAx>
        <c:axId val="14218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42191232"/>
        <c:crosses val="autoZero"/>
        <c:auto val="1"/>
        <c:lblAlgn val="ctr"/>
        <c:lblOffset val="100"/>
        <c:noMultiLvlLbl val="0"/>
      </c:catAx>
      <c:valAx>
        <c:axId val="142191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t-IT"/>
                  <a:t>mc/anno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42189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97040520111663"/>
          <c:y val="0.12924577136191309"/>
          <c:w val="0.18302959479888337"/>
          <c:h val="0.5658824899447295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baseline="0">
                <a:effectLst/>
              </a:rPr>
              <a:t>Rifiuti a Recupero e a Smaltimento [kg]</a:t>
            </a:r>
            <a:endParaRPr lang="it-IT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2"/>
          <c:order val="1"/>
          <c:tx>
            <c:strRef>
              <c:f>Rifiuti!$C$47</c:f>
              <c:strCache>
                <c:ptCount val="1"/>
                <c:pt idx="0">
                  <c:v>Totale rifiuti avviati a recupero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Rifiuti!$A$48:$A$51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Rifiuti!$C$48:$C$51</c:f>
              <c:numCache>
                <c:formatCode>#,##0</c:formatCode>
                <c:ptCount val="4"/>
                <c:pt idx="0">
                  <c:v>281649</c:v>
                </c:pt>
                <c:pt idx="1">
                  <c:v>255079</c:v>
                </c:pt>
                <c:pt idx="2">
                  <c:v>341266</c:v>
                </c:pt>
                <c:pt idx="3">
                  <c:v>413890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E1-40F5-BC14-B8D50D16D39E}"/>
            </c:ext>
          </c:extLst>
        </c:ser>
        <c:ser>
          <c:idx val="3"/>
          <c:order val="2"/>
          <c:tx>
            <c:strRef>
              <c:f>Rifiuti!$D$47</c:f>
              <c:strCache>
                <c:ptCount val="1"/>
                <c:pt idx="0">
                  <c:v>Totale rifiuti avviati a smaltimento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Rifiuti!$A$48:$A$51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Rifiuti!$D$48:$D$51</c:f>
              <c:numCache>
                <c:formatCode>#,##0</c:formatCode>
                <c:ptCount val="4"/>
                <c:pt idx="0">
                  <c:v>562047</c:v>
                </c:pt>
                <c:pt idx="1">
                  <c:v>373075</c:v>
                </c:pt>
                <c:pt idx="2">
                  <c:v>271044</c:v>
                </c:pt>
                <c:pt idx="3">
                  <c:v>199396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E1-40F5-BC14-B8D50D16D3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92226648"/>
        <c:axId val="592227040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Rifiuti!$B$47</c15:sqref>
                        </c15:formulaRef>
                      </c:ext>
                    </c:extLst>
                    <c:strCache>
                      <c:ptCount val="1"/>
                      <c:pt idx="0">
                        <c:v>Totale rifiuti smaltiti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Rifiuti!$B$48:$B$51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843696</c:v>
                      </c:pt>
                      <c:pt idx="1">
                        <c:v>628154</c:v>
                      </c:pt>
                      <c:pt idx="2">
                        <c:v>612310</c:v>
                      </c:pt>
                      <c:pt idx="3">
                        <c:v>613688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8E1-40F5-BC14-B8D50D16D39E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Rifiuti!$E$47</c15:sqref>
                        </c15:formulaRef>
                      </c:ext>
                    </c:extLst>
                    <c:strCache>
                      <c:ptCount val="1"/>
                      <c:pt idx="0">
                        <c:v>Frazione recuperata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Rifiuti!$E$48:$E$51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>
                        <c:v>0.33382758718780225</c:v>
                      </c:pt>
                      <c:pt idx="1">
                        <c:v>0.40607717215841976</c:v>
                      </c:pt>
                      <c:pt idx="2">
                        <c:v>0.55734186931456287</c:v>
                      </c:pt>
                      <c:pt idx="3">
                        <c:v>0.67443065531670821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8E1-40F5-BC14-B8D50D16D39E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Rifiuti!$F$47</c15:sqref>
                        </c15:formulaRef>
                      </c:ext>
                    </c:extLst>
                    <c:strCache>
                      <c:ptCount val="1"/>
                      <c:pt idx="0">
                        <c:v>Totale rifiuti pericolosi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Rifiuti!$F$48:$F$51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4678</c:v>
                      </c:pt>
                      <c:pt idx="1">
                        <c:v>1830</c:v>
                      </c:pt>
                      <c:pt idx="2">
                        <c:v>8629</c:v>
                      </c:pt>
                      <c:pt idx="3">
                        <c:v>4247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8E1-40F5-BC14-B8D50D16D39E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Rifiuti!$G$47</c15:sqref>
                        </c15:formulaRef>
                      </c:ext>
                    </c:extLst>
                    <c:strCache>
                      <c:ptCount val="1"/>
                      <c:pt idx="0">
                        <c:v>Totale rifiuti NON pericolosi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Rifiuti!$G$48:$G$51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839018</c:v>
                      </c:pt>
                      <c:pt idx="1">
                        <c:v>626324</c:v>
                      </c:pt>
                      <c:pt idx="2">
                        <c:v>603681</c:v>
                      </c:pt>
                      <c:pt idx="3">
                        <c:v>609441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8E1-40F5-BC14-B8D50D16D39E}"/>
                  </c:ext>
                </c:extLst>
              </c15:ser>
            </c15:filteredBarSeries>
            <c15:filteredBarSeries>
              <c15:ser>
                <c:idx val="7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Rifiuti!$H$47</c15:sqref>
                        </c15:formulaRef>
                      </c:ext>
                    </c:extLst>
                    <c:strCache>
                      <c:ptCount val="1"/>
                      <c:pt idx="0">
                        <c:v>Fanghi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Rifiuti!$H$48:$H$51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559930</c:v>
                      </c:pt>
                      <c:pt idx="1">
                        <c:v>371245</c:v>
                      </c:pt>
                      <c:pt idx="2">
                        <c:v>269045</c:v>
                      </c:pt>
                      <c:pt idx="3">
                        <c:v>196460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8E1-40F5-BC14-B8D50D16D39E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Rifiuti!$I$47</c15:sqref>
                        </c15:formulaRef>
                      </c:ext>
                    </c:extLst>
                    <c:strCache>
                      <c:ptCount val="1"/>
                      <c:pt idx="0">
                        <c:v>Rifiuti da fibre tessili lavorate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Rifiuti!$I$48:$I$51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151110</c:v>
                      </c:pt>
                      <c:pt idx="1">
                        <c:v>139210</c:v>
                      </c:pt>
                      <c:pt idx="2">
                        <c:v>140000</c:v>
                      </c:pt>
                      <c:pt idx="3">
                        <c:v>128610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8E1-40F5-BC14-B8D50D16D39E}"/>
                  </c:ext>
                </c:extLst>
              </c15:ser>
            </c15:filteredBarSeries>
            <c15:filteredBarSeries>
              <c15:ser>
                <c:idx val="9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Rifiuti!$J$47</c15:sqref>
                        </c15:formulaRef>
                      </c:ext>
                    </c:extLst>
                    <c:strCache>
                      <c:ptCount val="1"/>
                      <c:pt idx="0">
                        <c:v>Rifiuti  ESCLUSI quelli da fanghi e fibre tessli lavorate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Rifiuti!$J$48:$J$51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132656</c:v>
                      </c:pt>
                      <c:pt idx="1">
                        <c:v>117699</c:v>
                      </c:pt>
                      <c:pt idx="2">
                        <c:v>203265</c:v>
                      </c:pt>
                      <c:pt idx="3">
                        <c:v>288618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8E1-40F5-BC14-B8D50D16D39E}"/>
                  </c:ext>
                </c:extLst>
              </c15:ser>
            </c15:filteredBarSeries>
          </c:ext>
        </c:extLst>
      </c:bar3DChart>
      <c:catAx>
        <c:axId val="592226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27040"/>
        <c:crosses val="autoZero"/>
        <c:auto val="1"/>
        <c:lblAlgn val="ctr"/>
        <c:lblOffset val="100"/>
        <c:noMultiLvlLbl val="0"/>
      </c:catAx>
      <c:valAx>
        <c:axId val="59222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26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baseline="0">
                <a:effectLst/>
              </a:rPr>
              <a:t>Rifiuti Pericolosi e NON  Pericolosi [kg]</a:t>
            </a:r>
            <a:endParaRPr lang="it-IT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5"/>
          <c:order val="4"/>
          <c:tx>
            <c:strRef>
              <c:f>Rifiuti!$F$47</c:f>
              <c:strCache>
                <c:ptCount val="1"/>
                <c:pt idx="0">
                  <c:v>Totale rifiuti pericolosi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Rifiuti!$A$48:$A$51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Rifiuti!$F$48:$F$51</c:f>
              <c:numCache>
                <c:formatCode>#,##0</c:formatCode>
                <c:ptCount val="4"/>
                <c:pt idx="0">
                  <c:v>4678</c:v>
                </c:pt>
                <c:pt idx="1">
                  <c:v>1830</c:v>
                </c:pt>
                <c:pt idx="2">
                  <c:v>8629</c:v>
                </c:pt>
                <c:pt idx="3">
                  <c:v>4247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1250-492C-8802-0DA883873951}"/>
            </c:ext>
          </c:extLst>
        </c:ser>
        <c:ser>
          <c:idx val="6"/>
          <c:order val="5"/>
          <c:tx>
            <c:strRef>
              <c:f>Rifiuti!$G$47</c:f>
              <c:strCache>
                <c:ptCount val="1"/>
                <c:pt idx="0">
                  <c:v>Totale rifiuti NON pericolosi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Rifiuti!$A$48:$A$51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Rifiuti!$G$48:$G$51</c:f>
              <c:numCache>
                <c:formatCode>#,##0</c:formatCode>
                <c:ptCount val="4"/>
                <c:pt idx="0">
                  <c:v>839018</c:v>
                </c:pt>
                <c:pt idx="1">
                  <c:v>626324</c:v>
                </c:pt>
                <c:pt idx="2">
                  <c:v>603681</c:v>
                </c:pt>
                <c:pt idx="3">
                  <c:v>609441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250-492C-8802-0DA8838739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92227824"/>
        <c:axId val="592228216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Rifiuti!$B$47</c15:sqref>
                        </c15:formulaRef>
                      </c:ext>
                    </c:extLst>
                    <c:strCache>
                      <c:ptCount val="1"/>
                      <c:pt idx="0">
                        <c:v>Totale rifiuti smaltiti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Rifiuti!$B$48:$B$51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843696</c:v>
                      </c:pt>
                      <c:pt idx="1">
                        <c:v>628154</c:v>
                      </c:pt>
                      <c:pt idx="2">
                        <c:v>612310</c:v>
                      </c:pt>
                      <c:pt idx="3">
                        <c:v>613688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250-492C-8802-0DA883873951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Rifiuti!$C$47</c15:sqref>
                        </c15:formulaRef>
                      </c:ext>
                    </c:extLst>
                    <c:strCache>
                      <c:ptCount val="1"/>
                      <c:pt idx="0">
                        <c:v>Totale rifiuti avviati a recupero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Rifiuti!$C$48:$C$51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281649</c:v>
                      </c:pt>
                      <c:pt idx="1">
                        <c:v>255079</c:v>
                      </c:pt>
                      <c:pt idx="2">
                        <c:v>341266</c:v>
                      </c:pt>
                      <c:pt idx="3">
                        <c:v>413890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250-492C-8802-0DA883873951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Rifiuti!$D$47</c15:sqref>
                        </c15:formulaRef>
                      </c:ext>
                    </c:extLst>
                    <c:strCache>
                      <c:ptCount val="1"/>
                      <c:pt idx="0">
                        <c:v>Totale rifiuti avviati a smaltimento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Rifiuti!$D$48:$D$51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562047</c:v>
                      </c:pt>
                      <c:pt idx="1">
                        <c:v>373075</c:v>
                      </c:pt>
                      <c:pt idx="2">
                        <c:v>271044</c:v>
                      </c:pt>
                      <c:pt idx="3">
                        <c:v>199396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250-492C-8802-0DA883873951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Rifiuti!$E$47</c15:sqref>
                        </c15:formulaRef>
                      </c:ext>
                    </c:extLst>
                    <c:strCache>
                      <c:ptCount val="1"/>
                      <c:pt idx="0">
                        <c:v>Frazione recuperata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Rifiuti!$E$48:$E$51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>
                        <c:v>0.33382758718780225</c:v>
                      </c:pt>
                      <c:pt idx="1">
                        <c:v>0.40607717215841976</c:v>
                      </c:pt>
                      <c:pt idx="2">
                        <c:v>0.55734186931456287</c:v>
                      </c:pt>
                      <c:pt idx="3">
                        <c:v>0.67443065531670821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250-492C-8802-0DA883873951}"/>
                  </c:ext>
                </c:extLst>
              </c15:ser>
            </c15:filteredBarSeries>
            <c15:filteredBarSeries>
              <c15:ser>
                <c:idx val="7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Rifiuti!$H$47</c15:sqref>
                        </c15:formulaRef>
                      </c:ext>
                    </c:extLst>
                    <c:strCache>
                      <c:ptCount val="1"/>
                      <c:pt idx="0">
                        <c:v>Fanghi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Rifiuti!$H$48:$H$51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559930</c:v>
                      </c:pt>
                      <c:pt idx="1">
                        <c:v>371245</c:v>
                      </c:pt>
                      <c:pt idx="2">
                        <c:v>269045</c:v>
                      </c:pt>
                      <c:pt idx="3">
                        <c:v>196460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250-492C-8802-0DA883873951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Rifiuti!$I$47</c15:sqref>
                        </c15:formulaRef>
                      </c:ext>
                    </c:extLst>
                    <c:strCache>
                      <c:ptCount val="1"/>
                      <c:pt idx="0">
                        <c:v>Rifiuti da fibre tessili lavorate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Rifiuti!$I$48:$I$51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151110</c:v>
                      </c:pt>
                      <c:pt idx="1">
                        <c:v>139210</c:v>
                      </c:pt>
                      <c:pt idx="2">
                        <c:v>140000</c:v>
                      </c:pt>
                      <c:pt idx="3">
                        <c:v>128610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250-492C-8802-0DA883873951}"/>
                  </c:ext>
                </c:extLst>
              </c15:ser>
            </c15:filteredBarSeries>
            <c15:filteredBarSeries>
              <c15:ser>
                <c:idx val="9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Rifiuti!$J$47</c15:sqref>
                        </c15:formulaRef>
                      </c:ext>
                    </c:extLst>
                    <c:strCache>
                      <c:ptCount val="1"/>
                      <c:pt idx="0">
                        <c:v>Rifiuti  ESCLUSI quelli da fanghi e fibre tessli lavorate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Rifiuti!$J$48:$J$51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132656</c:v>
                      </c:pt>
                      <c:pt idx="1">
                        <c:v>117699</c:v>
                      </c:pt>
                      <c:pt idx="2">
                        <c:v>203265</c:v>
                      </c:pt>
                      <c:pt idx="3">
                        <c:v>288618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250-492C-8802-0DA883873951}"/>
                  </c:ext>
                </c:extLst>
              </c15:ser>
            </c15:filteredBarSeries>
          </c:ext>
        </c:extLst>
      </c:bar3DChart>
      <c:catAx>
        <c:axId val="59222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28216"/>
        <c:crosses val="autoZero"/>
        <c:auto val="1"/>
        <c:lblAlgn val="ctr"/>
        <c:lblOffset val="100"/>
        <c:noMultiLvlLbl val="0"/>
      </c:catAx>
      <c:valAx>
        <c:axId val="592228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222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baseline="0">
                <a:effectLst/>
              </a:rPr>
              <a:t>Rifiuti, Fanghi e Fibre Tessili Lavorate [kg]</a:t>
            </a:r>
            <a:endParaRPr lang="it-IT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74417696"/>
        <c:axId val="574418088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Rifiuti!$B$47</c15:sqref>
                        </c15:formulaRef>
                      </c:ext>
                    </c:extLst>
                    <c:strCache>
                      <c:ptCount val="1"/>
                      <c:pt idx="0">
                        <c:v>Totale rifiuti smaltiti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Rifiuti!$B$48:$B$51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843696</c:v>
                      </c:pt>
                      <c:pt idx="1">
                        <c:v>628154</c:v>
                      </c:pt>
                      <c:pt idx="2">
                        <c:v>612310</c:v>
                      </c:pt>
                      <c:pt idx="3">
                        <c:v>613688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B83F-4A05-8320-7036FF7F46D4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Rifiuti!$C$47</c15:sqref>
                        </c15:formulaRef>
                      </c:ext>
                    </c:extLst>
                    <c:strCache>
                      <c:ptCount val="1"/>
                      <c:pt idx="0">
                        <c:v>Totale rifiuti avviati a recupero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Rifiuti!$C$48:$C$51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281649</c:v>
                      </c:pt>
                      <c:pt idx="1">
                        <c:v>255079</c:v>
                      </c:pt>
                      <c:pt idx="2">
                        <c:v>341266</c:v>
                      </c:pt>
                      <c:pt idx="3">
                        <c:v>413890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83F-4A05-8320-7036FF7F46D4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Rifiuti!$D$47</c15:sqref>
                        </c15:formulaRef>
                      </c:ext>
                    </c:extLst>
                    <c:strCache>
                      <c:ptCount val="1"/>
                      <c:pt idx="0">
                        <c:v>Totale rifiuti avviati a smaltimento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Rifiuti!$D$48:$D$51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562047</c:v>
                      </c:pt>
                      <c:pt idx="1">
                        <c:v>373075</c:v>
                      </c:pt>
                      <c:pt idx="2">
                        <c:v>271044</c:v>
                      </c:pt>
                      <c:pt idx="3">
                        <c:v>199396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83F-4A05-8320-7036FF7F46D4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Rifiuti!$E$47</c15:sqref>
                        </c15:formulaRef>
                      </c:ext>
                    </c:extLst>
                    <c:strCache>
                      <c:ptCount val="1"/>
                      <c:pt idx="0">
                        <c:v>Frazione recuperata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Rifiuti!$E$48:$E$51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>
                        <c:v>0.33382758718780225</c:v>
                      </c:pt>
                      <c:pt idx="1">
                        <c:v>0.40607717215841976</c:v>
                      </c:pt>
                      <c:pt idx="2">
                        <c:v>0.55734186931456287</c:v>
                      </c:pt>
                      <c:pt idx="3">
                        <c:v>0.67443065531670821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83F-4A05-8320-7036FF7F46D4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Rifiuti!$F$47</c15:sqref>
                        </c15:formulaRef>
                      </c:ext>
                    </c:extLst>
                    <c:strCache>
                      <c:ptCount val="1"/>
                      <c:pt idx="0">
                        <c:v>Totale rifiuti pericolosi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Rifiuti!$F$48:$F$51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4678</c:v>
                      </c:pt>
                      <c:pt idx="1">
                        <c:v>1830</c:v>
                      </c:pt>
                      <c:pt idx="2">
                        <c:v>8629</c:v>
                      </c:pt>
                      <c:pt idx="3">
                        <c:v>4247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83F-4A05-8320-7036FF7F46D4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Rifiuti!$G$47</c15:sqref>
                        </c15:formulaRef>
                      </c:ext>
                    </c:extLst>
                    <c:strCache>
                      <c:ptCount val="1"/>
                      <c:pt idx="0">
                        <c:v>Totale rifiuti NON pericolosi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Rifiuti!$G$48:$G$51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839018</c:v>
                      </c:pt>
                      <c:pt idx="1">
                        <c:v>626324</c:v>
                      </c:pt>
                      <c:pt idx="2">
                        <c:v>603681</c:v>
                      </c:pt>
                      <c:pt idx="3">
                        <c:v>609441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83F-4A05-8320-7036FF7F46D4}"/>
                  </c:ext>
                </c:extLst>
              </c15:ser>
            </c15:filteredBarSeries>
            <c15:filteredBarSeries>
              <c15:ser>
                <c:idx val="7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Rifiuti!$H$47</c15:sqref>
                        </c15:formulaRef>
                      </c:ext>
                    </c:extLst>
                    <c:strCache>
                      <c:ptCount val="1"/>
                      <c:pt idx="0">
                        <c:v>Fanghi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Rifiuti!$H$48:$H$51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559930</c:v>
                      </c:pt>
                      <c:pt idx="1">
                        <c:v>371245</c:v>
                      </c:pt>
                      <c:pt idx="2">
                        <c:v>269045</c:v>
                      </c:pt>
                      <c:pt idx="3">
                        <c:v>196460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83F-4A05-8320-7036FF7F46D4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Rifiuti!$I$47</c15:sqref>
                        </c15:formulaRef>
                      </c:ext>
                    </c:extLst>
                    <c:strCache>
                      <c:ptCount val="1"/>
                      <c:pt idx="0">
                        <c:v>Rifiuti da fibre tessili lavorate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Rifiuti!$I$48:$I$51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151110</c:v>
                      </c:pt>
                      <c:pt idx="1">
                        <c:v>139210</c:v>
                      </c:pt>
                      <c:pt idx="2">
                        <c:v>140000</c:v>
                      </c:pt>
                      <c:pt idx="3">
                        <c:v>128610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83F-4A05-8320-7036FF7F46D4}"/>
                  </c:ext>
                </c:extLst>
              </c15:ser>
            </c15:filteredBarSeries>
            <c15:filteredBarSeries>
              <c15:ser>
                <c:idx val="9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Rifiuti!$J$47</c15:sqref>
                        </c15:formulaRef>
                      </c:ext>
                    </c:extLst>
                    <c:strCache>
                      <c:ptCount val="1"/>
                      <c:pt idx="0">
                        <c:v>Rifiuti  ESCLUSI quelli da fanghi e fibre tessli lavorate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Rifiuti!$A$48:$A$51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Rifiuti!$J$48:$J$51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132656</c:v>
                      </c:pt>
                      <c:pt idx="1">
                        <c:v>117699</c:v>
                      </c:pt>
                      <c:pt idx="2">
                        <c:v>203265</c:v>
                      </c:pt>
                      <c:pt idx="3">
                        <c:v>288618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83F-4A05-8320-7036FF7F46D4}"/>
                  </c:ext>
                </c:extLst>
              </c15:ser>
            </c15:filteredBarSeries>
          </c:ext>
        </c:extLst>
      </c:bar3DChart>
      <c:catAx>
        <c:axId val="57441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74418088"/>
        <c:crosses val="autoZero"/>
        <c:auto val="1"/>
        <c:lblAlgn val="ctr"/>
        <c:lblOffset val="100"/>
        <c:noMultiLvlLbl val="0"/>
      </c:catAx>
      <c:valAx>
        <c:axId val="574418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7441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kg smaltiti per Codice CER - 2023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Rifiuti!$B$5</c:f>
              <c:strCache>
                <c:ptCount val="1"/>
                <c:pt idx="0">
                  <c:v>04 02 20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Rifiuti!$E$5:$H$5</c15:sqref>
                  </c15:fullRef>
                </c:ext>
              </c:extLst>
              <c:f>Rifiuti!$E$5:$G$5</c:f>
              <c:numCache>
                <c:formatCode>_-* #,##0_-;\-* #,##0_-;_-* "-"??_-;_-@_-</c:formatCode>
                <c:ptCount val="3"/>
                <c:pt idx="0">
                  <c:v>559930</c:v>
                </c:pt>
                <c:pt idx="1">
                  <c:v>371245</c:v>
                </c:pt>
                <c:pt idx="2">
                  <c:v>269045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1-4B15-9C77-7CACFAD09506}"/>
            </c:ext>
          </c:extLst>
        </c:ser>
        <c:ser>
          <c:idx val="1"/>
          <c:order val="1"/>
          <c:tx>
            <c:strRef>
              <c:f>Rifiuti!$B$7</c:f>
              <c:strCache>
                <c:ptCount val="1"/>
                <c:pt idx="0">
                  <c:v>04 02 22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Rifiuti!$E$7:$H$7</c15:sqref>
                  </c15:fullRef>
                </c:ext>
              </c:extLst>
              <c:f>Rifiuti!$E$7:$G$7</c:f>
              <c:numCache>
                <c:formatCode>_-* #,##0_-;\-* #,##0_-;_-* "-"??_-;_-@_-</c:formatCode>
                <c:ptCount val="3"/>
                <c:pt idx="0">
                  <c:v>151110</c:v>
                </c:pt>
                <c:pt idx="1">
                  <c:v>139210</c:v>
                </c:pt>
                <c:pt idx="2">
                  <c:v>140000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21-4B15-9C77-7CACFAD09506}"/>
            </c:ext>
          </c:extLst>
        </c:ser>
        <c:ser>
          <c:idx val="2"/>
          <c:order val="2"/>
          <c:tx>
            <c:strRef>
              <c:f>Rifiuti!$B$8</c:f>
              <c:strCache>
                <c:ptCount val="1"/>
                <c:pt idx="0">
                  <c:v>08 01 11*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Rifiuti!$E$8:$H$8</c15:sqref>
                  </c15:fullRef>
                </c:ext>
              </c:extLst>
              <c:f>Rifiuti!$E$8:$G$8</c:f>
              <c:numCache>
                <c:formatCode>_-* #,##0_-;\-* #,##0_-;_-* "-"??_-;_-@_-</c:formatCode>
                <c:ptCount val="3"/>
                <c:pt idx="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21-4B15-9C77-7CACFAD09506}"/>
            </c:ext>
          </c:extLst>
        </c:ser>
        <c:ser>
          <c:idx val="3"/>
          <c:order val="3"/>
          <c:tx>
            <c:strRef>
              <c:f>Rifiuti!$B$9</c:f>
              <c:strCache>
                <c:ptCount val="1"/>
                <c:pt idx="0">
                  <c:v>08 03 18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Rifiuti!$E$9:$H$9</c15:sqref>
                  </c15:fullRef>
                </c:ext>
              </c:extLst>
              <c:f>Rifiuti!$E$9:$G$9</c:f>
              <c:numCache>
                <c:formatCode>_-* #,##0_-;\-* #,##0_-;_-* "-"??_-;_-@_-</c:formatCode>
                <c:ptCount val="3"/>
                <c:pt idx="0">
                  <c:v>31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21-4B15-9C77-7CACFAD09506}"/>
            </c:ext>
          </c:extLst>
        </c:ser>
        <c:ser>
          <c:idx val="4"/>
          <c:order val="4"/>
          <c:tx>
            <c:strRef>
              <c:f>Rifiuti!$B$10</c:f>
              <c:strCache>
                <c:ptCount val="1"/>
                <c:pt idx="0">
                  <c:v>13 02 08*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Rifiuti!$E$10:$H$10</c15:sqref>
                  </c15:fullRef>
                </c:ext>
              </c:extLst>
              <c:f>Rifiuti!$E$10:$G$10</c:f>
              <c:numCache>
                <c:formatCode>_-* #,##0_-;\-* #,##0_-;_-* "-"??_-;_-@_-</c:formatCode>
                <c:ptCount val="3"/>
                <c:pt idx="0">
                  <c:v>1876</c:v>
                </c:pt>
                <c:pt idx="2">
                  <c:v>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21-4B15-9C77-7CACFAD09506}"/>
            </c:ext>
          </c:extLst>
        </c:ser>
        <c:ser>
          <c:idx val="5"/>
          <c:order val="5"/>
          <c:tx>
            <c:strRef>
              <c:f>Rifiuti!$B$11</c:f>
              <c:strCache>
                <c:ptCount val="1"/>
                <c:pt idx="0">
                  <c:v>13 08 02*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Rifiuti!$E$11:$H$11</c15:sqref>
                  </c15:fullRef>
                </c:ext>
              </c:extLst>
              <c:f>Rifiuti!$E$11:$G$11</c:f>
              <c:numCache>
                <c:formatCode>_-* #,##0_-;\-* #,##0_-;_-* "-"??_-;_-@_-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1B21-4B15-9C77-7CACFAD09506}"/>
            </c:ext>
          </c:extLst>
        </c:ser>
        <c:ser>
          <c:idx val="6"/>
          <c:order val="6"/>
          <c:tx>
            <c:strRef>
              <c:f>Rifiuti!$B$12</c:f>
              <c:strCache>
                <c:ptCount val="1"/>
                <c:pt idx="0">
                  <c:v>15 01 01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Rifiuti!$E$12:$H$12</c15:sqref>
                  </c15:fullRef>
                </c:ext>
              </c:extLst>
              <c:f>Rifiuti!$E$12:$G$12</c:f>
              <c:numCache>
                <c:formatCode>_-* #,##0_-;\-* #,##0_-;_-* "-"??_-;_-@_-</c:formatCode>
                <c:ptCount val="3"/>
                <c:pt idx="0">
                  <c:v>37410</c:v>
                </c:pt>
                <c:pt idx="1">
                  <c:v>31030</c:v>
                </c:pt>
                <c:pt idx="2">
                  <c:v>38480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21-4B15-9C77-7CACFAD09506}"/>
            </c:ext>
          </c:extLst>
        </c:ser>
        <c:ser>
          <c:idx val="7"/>
          <c:order val="7"/>
          <c:tx>
            <c:strRef>
              <c:f>Rifiuti!$B$13</c:f>
              <c:strCache>
                <c:ptCount val="1"/>
                <c:pt idx="0">
                  <c:v>15 01 02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Rifiuti!$E$13:$H$13</c15:sqref>
                  </c15:fullRef>
                </c:ext>
              </c:extLst>
              <c:f>Rifiuti!$E$13:$G$13</c:f>
              <c:numCache>
                <c:formatCode>_-* #,##0_-;\-* #,##0_-;_-* "-"??_-;_-@_-</c:formatCode>
                <c:ptCount val="3"/>
                <c:pt idx="0">
                  <c:v>45220</c:v>
                </c:pt>
                <c:pt idx="1">
                  <c:v>35830</c:v>
                </c:pt>
                <c:pt idx="2">
                  <c:v>37140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21-4B15-9C77-7CACFAD09506}"/>
            </c:ext>
          </c:extLst>
        </c:ser>
        <c:ser>
          <c:idx val="8"/>
          <c:order val="8"/>
          <c:tx>
            <c:strRef>
              <c:f>Rifiuti!$B$14</c:f>
              <c:strCache>
                <c:ptCount val="1"/>
                <c:pt idx="0">
                  <c:v>15 01 03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Rifiuti!$E$14:$H$14</c15:sqref>
                  </c15:fullRef>
                </c:ext>
              </c:extLst>
              <c:f>Rifiuti!$E$14:$G$14</c:f>
              <c:numCache>
                <c:formatCode>_-* #,##0_-;\-* #,##0_-;_-* "-"??_-;_-@_-</c:formatCode>
                <c:ptCount val="3"/>
                <c:pt idx="0">
                  <c:v>35120</c:v>
                </c:pt>
                <c:pt idx="1">
                  <c:v>37120</c:v>
                </c:pt>
                <c:pt idx="2">
                  <c:v>37910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B21-4B15-9C77-7CACFAD09506}"/>
            </c:ext>
          </c:extLst>
        </c:ser>
        <c:ser>
          <c:idx val="9"/>
          <c:order val="9"/>
          <c:tx>
            <c:strRef>
              <c:f>Rifiuti!$B$16</c:f>
              <c:strCache>
                <c:ptCount val="1"/>
                <c:pt idx="0">
                  <c:v>15 02 02*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Rifiuti!$E$16:$H$16</c15:sqref>
                  </c15:fullRef>
                </c:ext>
              </c:extLst>
              <c:f>Rifiuti!$E$16:$G$16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B21-4B15-9C77-7CACFAD09506}"/>
            </c:ext>
          </c:extLst>
        </c:ser>
        <c:ser>
          <c:idx val="10"/>
          <c:order val="10"/>
          <c:tx>
            <c:strRef>
              <c:f>Rifiuti!$B$19</c:f>
              <c:strCache>
                <c:ptCount val="1"/>
                <c:pt idx="0">
                  <c:v>16 01 07*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Rifiuti!$E$19:$H$19</c15:sqref>
                  </c15:fullRef>
                </c:ext>
              </c:extLst>
              <c:f>Rifiuti!$E$19:$G$19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B21-4B15-9C77-7CACFAD09506}"/>
            </c:ext>
          </c:extLst>
        </c:ser>
        <c:ser>
          <c:idx val="11"/>
          <c:order val="11"/>
          <c:tx>
            <c:strRef>
              <c:f>Rifiuti!$B$20</c:f>
              <c:strCache>
                <c:ptCount val="1"/>
                <c:pt idx="0">
                  <c:v>16 02 13*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Rifiuti!$E$20:$H$20</c15:sqref>
                  </c15:fullRef>
                </c:ext>
              </c:extLst>
              <c:f>Rifiuti!$E$20:$G$20</c:f>
              <c:numCache>
                <c:formatCode>_-* #,##0_-;\-* #,##0_-;_-* "-"??_-;_-@_-</c:formatCode>
                <c:ptCount val="3"/>
                <c:pt idx="0">
                  <c:v>51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B21-4B15-9C77-7CACFAD09506}"/>
            </c:ext>
          </c:extLst>
        </c:ser>
        <c:ser>
          <c:idx val="12"/>
          <c:order val="12"/>
          <c:tx>
            <c:strRef>
              <c:f>Rifiuti!$B$21</c:f>
              <c:strCache>
                <c:ptCount val="1"/>
                <c:pt idx="0">
                  <c:v>16 02 14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Rifiuti!$E$21:$H$21</c15:sqref>
                  </c15:fullRef>
                </c:ext>
              </c:extLst>
              <c:f>Rifiuti!$E$21:$G$21</c:f>
              <c:numCache>
                <c:formatCode>_-* #,##0_-;\-* #,##0_-;_-* "-"??_-;_-@_-</c:formatCode>
                <c:ptCount val="3"/>
                <c:pt idx="0">
                  <c:v>627</c:v>
                </c:pt>
                <c:pt idx="2">
                  <c:v>6592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B21-4B15-9C77-7CACFAD09506}"/>
            </c:ext>
          </c:extLst>
        </c:ser>
        <c:ser>
          <c:idx val="13"/>
          <c:order val="13"/>
          <c:tx>
            <c:strRef>
              <c:f>Rifiuti!$B$23</c:f>
              <c:strCache>
                <c:ptCount val="1"/>
                <c:pt idx="0">
                  <c:v>16 03 05*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Rifiuti!$E$23:$H$23</c15:sqref>
                  </c15:fullRef>
                </c:ext>
              </c:extLst>
              <c:f>Rifiuti!$E$23:$G$23</c:f>
              <c:numCache>
                <c:formatCode>_-* #,##0_-;\-* #,##0_-;_-* "-"??_-;_-@_-</c:formatCode>
                <c:ptCount val="3"/>
                <c:pt idx="0">
                  <c:v>1681</c:v>
                </c:pt>
                <c:pt idx="1">
                  <c:v>1220</c:v>
                </c:pt>
                <c:pt idx="2">
                  <c:v>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B21-4B15-9C77-7CACFAD09506}"/>
            </c:ext>
          </c:extLst>
        </c:ser>
        <c:ser>
          <c:idx val="14"/>
          <c:order val="14"/>
          <c:tx>
            <c:strRef>
              <c:f>Rifiuti!$B$26</c:f>
              <c:strCache>
                <c:ptCount val="1"/>
                <c:pt idx="0">
                  <c:v>16 05 04*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Rifiuti!$E$26:$H$26</c15:sqref>
                  </c15:fullRef>
                </c:ext>
              </c:extLst>
              <c:f>Rifiuti!$E$26:$G$26</c:f>
              <c:numCache>
                <c:formatCode>_-* #,##0_-;\-* #,##0_-;_-* "-"??_-;_-@_-</c:formatCode>
                <c:ptCount val="3"/>
                <c:pt idx="0">
                  <c:v>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B21-4B15-9C77-7CACFAD09506}"/>
            </c:ext>
          </c:extLst>
        </c:ser>
        <c:ser>
          <c:idx val="15"/>
          <c:order val="15"/>
          <c:tx>
            <c:strRef>
              <c:f>Rifiuti!$B$29</c:f>
              <c:strCache>
                <c:ptCount val="1"/>
                <c:pt idx="0">
                  <c:v>16 06 04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Rifiuti!$E$29:$H$29</c15:sqref>
                  </c15:fullRef>
                </c:ext>
              </c:extLst>
              <c:f>Rifiuti!$E$29:$G$29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B21-4B15-9C77-7CACFAD09506}"/>
            </c:ext>
          </c:extLst>
        </c:ser>
        <c:ser>
          <c:idx val="16"/>
          <c:order val="16"/>
          <c:tx>
            <c:strRef>
              <c:f>Rifiuti!$B$30</c:f>
              <c:strCache>
                <c:ptCount val="1"/>
                <c:pt idx="0">
                  <c:v>16 07 08*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Rifiuti!$E$30:$H$30</c15:sqref>
                  </c15:fullRef>
                </c:ext>
              </c:extLst>
              <c:f>Rifiuti!$E$30:$G$30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B21-4B15-9C77-7CACFAD09506}"/>
            </c:ext>
          </c:extLst>
        </c:ser>
        <c:ser>
          <c:idx val="17"/>
          <c:order val="17"/>
          <c:tx>
            <c:strRef>
              <c:f>Rifiuti!$B$32</c:f>
              <c:strCache>
                <c:ptCount val="1"/>
                <c:pt idx="0">
                  <c:v>17 04 02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Rifiuti!$E$32:$H$32</c15:sqref>
                  </c15:fullRef>
                </c:ext>
              </c:extLst>
              <c:f>Rifiuti!$E$32:$G$32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B21-4B15-9C77-7CACFAD09506}"/>
            </c:ext>
          </c:extLst>
        </c:ser>
        <c:ser>
          <c:idx val="31"/>
          <c:order val="18"/>
          <c:tx>
            <c:strRef>
              <c:f>Rifiuti!$B$33</c:f>
              <c:strCache>
                <c:ptCount val="1"/>
                <c:pt idx="0">
                  <c:v>17 04 05</c:v>
                </c:pt>
              </c:strCache>
            </c:strRef>
          </c:tx>
          <c:spPr>
            <a:solidFill>
              <a:schemeClr val="accent1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Rifiuti!$E$33:$H$33</c15:sqref>
                  </c15:fullRef>
                </c:ext>
              </c:extLst>
              <c:f>Rifiuti!$E$33:$G$33</c:f>
              <c:numCache>
                <c:formatCode>_-* #,##0_-;\-* #,##0_-;_-* "-"??_-;_-@_-</c:formatCode>
                <c:ptCount val="3"/>
                <c:pt idx="0">
                  <c:v>9570</c:v>
                </c:pt>
                <c:pt idx="1">
                  <c:v>10629</c:v>
                </c:pt>
                <c:pt idx="2">
                  <c:v>6340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2-1B21-4B15-9C77-7CACFAD09506}"/>
            </c:ext>
          </c:extLst>
        </c:ser>
        <c:ser>
          <c:idx val="18"/>
          <c:order val="19"/>
          <c:tx>
            <c:strRef>
              <c:f>Rifiuti!$B$35</c:f>
              <c:strCache>
                <c:ptCount val="1"/>
                <c:pt idx="0">
                  <c:v>17 05 03*</c:v>
                </c:pt>
              </c:strCache>
            </c:strRef>
          </c:tx>
          <c:spPr>
            <a:solidFill>
              <a:schemeClr val="accent1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Rifiuti!$E$35:$H$35</c15:sqref>
                  </c15:fullRef>
                </c:ext>
              </c:extLst>
              <c:f>Rifiuti!$E$35:$G$35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B21-4B15-9C77-7CACFAD09506}"/>
            </c:ext>
          </c:extLst>
        </c:ser>
        <c:ser>
          <c:idx val="19"/>
          <c:order val="20"/>
          <c:tx>
            <c:strRef>
              <c:f>Rifiuti!$B$36</c:f>
              <c:strCache>
                <c:ptCount val="1"/>
                <c:pt idx="0">
                  <c:v>17 06 03*</c:v>
                </c:pt>
              </c:strCache>
            </c:strRef>
          </c:tx>
          <c:spPr>
            <a:solidFill>
              <a:schemeClr val="accent2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Rifiuti!$E$36:$H$36</c15:sqref>
                  </c15:fullRef>
                </c:ext>
              </c:extLst>
              <c:f>Rifiuti!$E$36:$G$36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B21-4B15-9C77-7CACFAD09506}"/>
            </c:ext>
          </c:extLst>
        </c:ser>
        <c:ser>
          <c:idx val="20"/>
          <c:order val="21"/>
          <c:tx>
            <c:strRef>
              <c:f>Rifiuti!$B$37</c:f>
              <c:strCache>
                <c:ptCount val="1"/>
                <c:pt idx="0">
                  <c:v>17 09 04</c:v>
                </c:pt>
              </c:strCache>
            </c:strRef>
          </c:tx>
          <c:spPr>
            <a:solidFill>
              <a:schemeClr val="accent3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Rifiuti!$E$37:$H$37</c15:sqref>
                  </c15:fullRef>
                </c:ext>
              </c:extLst>
              <c:f>Rifiuti!$E$37:$G$37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B21-4B15-9C77-7CACFAD09506}"/>
            </c:ext>
          </c:extLst>
        </c:ser>
        <c:ser>
          <c:idx val="21"/>
          <c:order val="22"/>
          <c:tx>
            <c:strRef>
              <c:f>Rifiuti!$B$39</c:f>
              <c:strCache>
                <c:ptCount val="1"/>
                <c:pt idx="0">
                  <c:v>20 01 21*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Rifiuti!$E$4:$H$4</c15:sqref>
                  </c15:fullRef>
                </c:ext>
              </c:extLst>
              <c:f>Rifiuti!$E$4:$G$4</c:f>
              <c:strCache>
                <c:ptCount val="3"/>
                <c:pt idx="0">
                  <c:v>kg smaltiti
2022</c:v>
                </c:pt>
                <c:pt idx="1">
                  <c:v>kg smaltiti
2023</c:v>
                </c:pt>
                <c:pt idx="2">
                  <c:v>kg smaltiti
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Rifiuti!$E$39:$H$39</c15:sqref>
                  </c15:fullRef>
                </c:ext>
              </c:extLst>
              <c:f>Rifiuti!$E$39:$G$39</c:f>
              <c:numCache>
                <c:formatCode>_-* #,##0_-;\-* #,##0_-;_-* "-"??_-;_-@_-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B21-4B15-9C77-7CACFAD0950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9563464"/>
        <c:axId val="329563856"/>
        <c:extLst/>
      </c:barChart>
      <c:catAx>
        <c:axId val="3295634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29563856"/>
        <c:crosses val="autoZero"/>
        <c:auto val="1"/>
        <c:lblAlgn val="ctr"/>
        <c:lblOffset val="100"/>
        <c:noMultiLvlLbl val="0"/>
      </c:catAx>
      <c:valAx>
        <c:axId val="32956385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9563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4111111111111111E-2"/>
          <c:y val="7.9038194444444446E-2"/>
          <c:w val="0.14055918803418804"/>
          <c:h val="0.873680822649572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96715</xdr:colOff>
      <xdr:row>8</xdr:row>
      <xdr:rowOff>104043</xdr:rowOff>
    </xdr:from>
    <xdr:to>
      <xdr:col>5</xdr:col>
      <xdr:colOff>1262428</xdr:colOff>
      <xdr:row>25</xdr:row>
      <xdr:rowOff>18317</xdr:rowOff>
    </xdr:to>
    <xdr:graphicFrame macro="">
      <xdr:nvGraphicFramePr>
        <xdr:cNvPr id="1332" name="Chart 2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344365</xdr:colOff>
      <xdr:row>6</xdr:row>
      <xdr:rowOff>74368</xdr:rowOff>
    </xdr:from>
    <xdr:to>
      <xdr:col>14</xdr:col>
      <xdr:colOff>41030</xdr:colOff>
      <xdr:row>25</xdr:row>
      <xdr:rowOff>21981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0</xdr:rowOff>
    </xdr:from>
    <xdr:to>
      <xdr:col>12</xdr:col>
      <xdr:colOff>323850</xdr:colOff>
      <xdr:row>0</xdr:row>
      <xdr:rowOff>0</xdr:rowOff>
    </xdr:to>
    <xdr:graphicFrame macro="">
      <xdr:nvGraphicFramePr>
        <xdr:cNvPr id="11088914" name="Chart 2">
          <a:extLst>
            <a:ext uri="{FF2B5EF4-FFF2-40B4-BE49-F238E27FC236}">
              <a16:creationId xmlns:a16="http://schemas.microsoft.com/office/drawing/2014/main" id="{00000000-0008-0000-0300-00001234A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105</xdr:row>
      <xdr:rowOff>123825</xdr:rowOff>
    </xdr:from>
    <xdr:to>
      <xdr:col>10</xdr:col>
      <xdr:colOff>133350</xdr:colOff>
      <xdr:row>124</xdr:row>
      <xdr:rowOff>9525</xdr:rowOff>
    </xdr:to>
    <xdr:graphicFrame macro="">
      <xdr:nvGraphicFramePr>
        <xdr:cNvPr id="11088915" name="Grafico 23">
          <a:extLst>
            <a:ext uri="{FF2B5EF4-FFF2-40B4-BE49-F238E27FC236}">
              <a16:creationId xmlns:a16="http://schemas.microsoft.com/office/drawing/2014/main" id="{00000000-0008-0000-0300-00001334A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438150</xdr:colOff>
      <xdr:row>87</xdr:row>
      <xdr:rowOff>76199</xdr:rowOff>
    </xdr:from>
    <xdr:to>
      <xdr:col>10</xdr:col>
      <xdr:colOff>123825</xdr:colOff>
      <xdr:row>104</xdr:row>
      <xdr:rowOff>114299</xdr:rowOff>
    </xdr:to>
    <xdr:graphicFrame macro="">
      <xdr:nvGraphicFramePr>
        <xdr:cNvPr id="11088916" name="Grafico 12">
          <a:extLst>
            <a:ext uri="{FF2B5EF4-FFF2-40B4-BE49-F238E27FC236}">
              <a16:creationId xmlns:a16="http://schemas.microsoft.com/office/drawing/2014/main" id="{00000000-0008-0000-0300-00001434A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573488</xdr:colOff>
      <xdr:row>50</xdr:row>
      <xdr:rowOff>132956</xdr:rowOff>
    </xdr:from>
    <xdr:to>
      <xdr:col>18</xdr:col>
      <xdr:colOff>346629</xdr:colOff>
      <xdr:row>67</xdr:row>
      <xdr:rowOff>67021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3E2FFEB-A36B-4E2E-9D81-2A39013E07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573488</xdr:colOff>
      <xdr:row>68</xdr:row>
      <xdr:rowOff>26987</xdr:rowOff>
    </xdr:from>
    <xdr:to>
      <xdr:col>18</xdr:col>
      <xdr:colOff>322816</xdr:colOff>
      <xdr:row>87</xdr:row>
      <xdr:rowOff>7487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9408C5-BE6C-4033-BB07-EA9EDFAA03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573488</xdr:colOff>
      <xdr:row>40</xdr:row>
      <xdr:rowOff>171055</xdr:rowOff>
    </xdr:from>
    <xdr:to>
      <xdr:col>18</xdr:col>
      <xdr:colOff>346629</xdr:colOff>
      <xdr:row>47</xdr:row>
      <xdr:rowOff>105120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C0F2505-BD30-4D1B-A641-FDC0D37E4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688578</xdr:colOff>
      <xdr:row>53</xdr:row>
      <xdr:rowOff>148828</xdr:rowOff>
    </xdr:from>
    <xdr:to>
      <xdr:col>7</xdr:col>
      <xdr:colOff>91</xdr:colOff>
      <xdr:row>93</xdr:row>
      <xdr:rowOff>23404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B964C16-22E4-413C-9ABF-CB8152C734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85726</xdr:colOff>
      <xdr:row>53</xdr:row>
      <xdr:rowOff>148828</xdr:rowOff>
    </xdr:from>
    <xdr:to>
      <xdr:col>11</xdr:col>
      <xdr:colOff>551349</xdr:colOff>
      <xdr:row>93</xdr:row>
      <xdr:rowOff>23404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57A6BBA-28ED-48EB-B036-55CD9AFD87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628650</xdr:colOff>
      <xdr:row>53</xdr:row>
      <xdr:rowOff>168672</xdr:rowOff>
    </xdr:from>
    <xdr:to>
      <xdr:col>14</xdr:col>
      <xdr:colOff>337344</xdr:colOff>
      <xdr:row>93</xdr:row>
      <xdr:rowOff>23404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CA9486C1-8E3B-45A1-AE53-AB8C74E22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53</xdr:row>
      <xdr:rowOff>148829</xdr:rowOff>
    </xdr:from>
    <xdr:to>
      <xdr:col>1</xdr:col>
      <xdr:colOff>609746</xdr:colOff>
      <xdr:row>93</xdr:row>
      <xdr:rowOff>23405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A35666CC-3B57-4EA2-8D82-1543A4647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134</xdr:row>
      <xdr:rowOff>0</xdr:rowOff>
    </xdr:from>
    <xdr:to>
      <xdr:col>1</xdr:col>
      <xdr:colOff>635796</xdr:colOff>
      <xdr:row>173</xdr:row>
      <xdr:rowOff>47295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B9F59D8-E92E-46C1-8170-70042B193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134</xdr:row>
      <xdr:rowOff>0</xdr:rowOff>
    </xdr:from>
    <xdr:to>
      <xdr:col>7</xdr:col>
      <xdr:colOff>115843</xdr:colOff>
      <xdr:row>173</xdr:row>
      <xdr:rowOff>47295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3BDEE70E-77C6-4D62-B83B-F92ABDFB7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ertificazioni\Desktop\MOD15%20-%20PMC%20ultimo.xlsx" TargetMode="External"/><Relationship Id="rId1" Type="http://schemas.openxmlformats.org/officeDocument/2006/relationships/externalLinkPath" Target="file:///C:\Users\certificazioni\Desktop\MOD15%20-%20PMC%20ultim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RAB\ID2\F3B066CF-D170-40CA-A03A-CF3270F73F74\0\759000-759999\759376\L\L\PMC%20(ID%20759376)\MOD15%20-%20PMC.xlsx" TargetMode="External"/><Relationship Id="rId1" Type="http://schemas.openxmlformats.org/officeDocument/2006/relationships/externalLinkPath" Target="/CRAB/ID2/F3B066CF-D170-40CA-A03A-CF3270F73F74/0/759000-759999/759376/L/L/PMC%20(ID%20759376)/MOD15%20-%20PMC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ertificazioni\AppData\Local\Microsoft\Windows\INetCache\Content.Outlook\NWBYMFNB\MOD15%20-%20PMC%20(003).xlsx" TargetMode="External"/><Relationship Id="rId1" Type="http://schemas.openxmlformats.org/officeDocument/2006/relationships/externalLinkPath" Target="file:///C:\Users\certificazioni\AppData\Local\Microsoft\Windows\INetCache\Content.Outlook\NWBYMFNB\MOD15%20-%20PMC%20(003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.mistretta.BIELLA\Desktop\Copia%20di%20Finissaggio%20e%20tintoria%20Ferraris%20S.p.A.%20-%20PMC.xlsx" TargetMode="External"/><Relationship Id="rId1" Type="http://schemas.openxmlformats.org/officeDocument/2006/relationships/externalLinkPath" Target="file:///C:\Users\i.mistretta.BIELLA\Desktop\Copia%20di%20Finissaggio%20e%20tintoria%20Ferraris%20S.p.A.%20-%20PM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otto purgato"/>
      <sheetName val="Prodotto Lavorato"/>
      <sheetName val="Prodotti chimici"/>
      <sheetName val="Energia Elettrica"/>
      <sheetName val="Energia Termica"/>
      <sheetName val="Analisi Emissioni"/>
      <sheetName val="Consumi Idrici"/>
      <sheetName val="Acqua Recuperata"/>
      <sheetName val="Scarichi Idrici"/>
      <sheetName val="Analisi Scarichi"/>
      <sheetName val="Rifiuti"/>
      <sheetName val="Serbatoi"/>
      <sheetName val="Indici"/>
      <sheetName val="Emissioni di CO2"/>
      <sheetName val="Personale"/>
      <sheetName val="Dati generali"/>
      <sheetName val="MOD15 - PMC ultim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otto purgato"/>
      <sheetName val="Prodotto Lavorato"/>
      <sheetName val="Prodotti chimici"/>
      <sheetName val="Energia Elettrica"/>
      <sheetName val="Energia Termica"/>
      <sheetName val="Analisi Emissioni"/>
      <sheetName val="Consumi Idrici"/>
      <sheetName val="Diagramma di flusso"/>
      <sheetName val="Acqua Recuperata"/>
      <sheetName val="Scarichi Idrici"/>
      <sheetName val="Analisi Scarichi "/>
      <sheetName val="Rifiuti"/>
      <sheetName val="Indici"/>
      <sheetName val="VascheSistConten"/>
      <sheetName val="Emissioni di CO2 "/>
      <sheetName val="Personale"/>
      <sheetName val="Dati generali"/>
      <sheetName val="MOD15 - PM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otto purgato"/>
      <sheetName val="Prodotto Lavorato"/>
      <sheetName val="Prodotti chimici"/>
      <sheetName val="Energia Elettrica"/>
      <sheetName val="Energia Termica"/>
      <sheetName val="Analisi Emissioni"/>
      <sheetName val="Consumi Idrici"/>
      <sheetName val="Diagramma di flusso"/>
      <sheetName val="Acqua Recuperata"/>
      <sheetName val="Scarichi Idrici"/>
      <sheetName val="Analisi Scarichi "/>
      <sheetName val="Rifiuti"/>
      <sheetName val="Indici"/>
      <sheetName val="Emissioni di CO2 "/>
      <sheetName val="Personale"/>
      <sheetName val="Dati generali"/>
      <sheetName val="MOD15 - PMC (003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ERTINA"/>
      <sheetName val="1.1 Produzione"/>
      <sheetName val="1.1 Prodotti chimici"/>
      <sheetName val="1.3 Approvvigionamento idrico"/>
      <sheetName val="Scarico Idrico"/>
      <sheetName val="1.4 Energia Elettrica - Dati"/>
      <sheetName val="1.4 Energia Elettrica - Grafici"/>
      <sheetName val="1.5 Energia Termica"/>
      <sheetName val="Energia termica COGE"/>
      <sheetName val="1.6.1 Analisi emix. in atm"/>
      <sheetName val="1.7 Analisi H2O - OUT Dep."/>
      <sheetName val="1.7 Analisi H2O - Grafici OUT"/>
      <sheetName val="1.9.2 - Rifiuti - Dati"/>
      <sheetName val="1.9.2 - Rifiuti - Grafici"/>
      <sheetName val="Rifiuti"/>
      <sheetName val="Tabella PIVOT"/>
      <sheetName val="3 Indicatori - Dati"/>
      <sheetName val="3 Indicatori - Grafici"/>
      <sheetName val="3 Indicatori -x G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2">
          <cell r="B272">
            <v>5127441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rene Mistretta" refreshedDate="46163.425743055559" createdVersion="8" refreshedVersion="8" minRefreshableVersion="3" recordCount="39" xr:uid="{ACED9598-52BB-41CA-BA4E-106DD15C7224}">
  <cacheSource type="worksheet">
    <worksheetSource name="Tab_Rifiuti"/>
  </cacheSource>
  <cacheFields count="8">
    <cacheField name="Descrizione rifiuto" numFmtId="0">
      <sharedItems containsBlank="1"/>
    </cacheField>
    <cacheField name="Codice CER" numFmtId="0">
      <sharedItems containsBlank="1"/>
    </cacheField>
    <cacheField name="R/D" numFmtId="0">
      <sharedItems containsBlank="1" count="3">
        <s v="D"/>
        <s v="R"/>
        <m/>
      </sharedItems>
    </cacheField>
    <cacheField name="P/NP" numFmtId="0">
      <sharedItems containsBlank="1" count="3">
        <s v="NP"/>
        <s v="P"/>
        <m/>
      </sharedItems>
    </cacheField>
    <cacheField name="kg smaltiti_x000a_2022" numFmtId="167">
      <sharedItems containsString="0" containsBlank="1" containsNumber="1" containsInteger="1" minValue="9" maxValue="559930"/>
    </cacheField>
    <cacheField name="kg smaltiti_x000a_2023" numFmtId="167">
      <sharedItems containsString="0" containsBlank="1" containsNumber="1" containsInteger="1" minValue="50" maxValue="371245"/>
    </cacheField>
    <cacheField name="kg smaltiti_x000a_2024" numFmtId="0">
      <sharedItems containsString="0" containsBlank="1" containsNumber="1" containsInteger="1" minValue="0" maxValue="269045"/>
    </cacheField>
    <cacheField name="kg smaltiti_x000a_2025" numFmtId="167">
      <sharedItems containsString="0" containsBlank="1" containsNumber="1" containsInteger="1" minValue="15" maxValue="1964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s v="Fanghi prodotti dal trattamento in loco degli effluenti, diversi da quelli di cui alla voce 04 02 19"/>
    <s v="04 02 20"/>
    <x v="0"/>
    <x v="0"/>
    <n v="559930"/>
    <n v="371245"/>
    <n v="269045"/>
    <n v="196460"/>
  </r>
  <r>
    <s v="Fanghi prodotti dal trattamento in loco degli effluenti, diversi da quelli di cui alla voce 04 02 19"/>
    <s v="04 02 20"/>
    <x v="1"/>
    <x v="0"/>
    <m/>
    <m/>
    <n v="64820"/>
    <n v="153425"/>
  </r>
  <r>
    <s v="Rifiuti da fibre tessili lavorate"/>
    <s v="04 02 22"/>
    <x v="1"/>
    <x v="0"/>
    <n v="151110"/>
    <n v="139210"/>
    <n v="140000"/>
    <n v="128610"/>
  </r>
  <r>
    <s v="Pitture e vernici di scarto, contenenti solventi organici o altre sostanze pericolose"/>
    <s v="08 01 11*"/>
    <x v="0"/>
    <x v="1"/>
    <n v="118"/>
    <m/>
    <m/>
    <m/>
  </r>
  <r>
    <s v="Toner per stampa esauriti, diversi da quelli di cui alla voce 08 03 17"/>
    <s v="08 03 18"/>
    <x v="1"/>
    <x v="0"/>
    <n v="31"/>
    <m/>
    <n v="24"/>
    <n v="33"/>
  </r>
  <r>
    <s v="Altri oli per motori, ingranaggi e lubrificazione"/>
    <s v="13 02 08*"/>
    <x v="1"/>
    <x v="1"/>
    <n v="1876"/>
    <m/>
    <n v="1538"/>
    <n v="937"/>
  </r>
  <r>
    <s v="Altre emulsioni"/>
    <s v="13 08 02*"/>
    <x v="1"/>
    <x v="1"/>
    <m/>
    <m/>
    <m/>
    <m/>
  </r>
  <r>
    <s v="Imballaggi di carta e cartone"/>
    <s v="15 01 01"/>
    <x v="1"/>
    <x v="0"/>
    <n v="37410"/>
    <n v="31030"/>
    <n v="38480"/>
    <n v="47930"/>
  </r>
  <r>
    <s v="Imballaggi di plastica"/>
    <s v="15 01 02"/>
    <x v="1"/>
    <x v="0"/>
    <n v="45220"/>
    <n v="35830"/>
    <n v="37140"/>
    <n v="35560"/>
  </r>
  <r>
    <s v="Imballaggi in legno"/>
    <s v="15 01 03"/>
    <x v="1"/>
    <x v="0"/>
    <n v="35120"/>
    <n v="37120"/>
    <n v="37910"/>
    <n v="43410"/>
  </r>
  <r>
    <s v="Assorbenti, materiali filtranti (inclusi i filtri dell'olio non specificati altrimenti), stracci e indumenti protettivi, contaminati da sostanze pericolose"/>
    <s v="15 02 02*"/>
    <x v="1"/>
    <x v="1"/>
    <n v="458"/>
    <m/>
    <n v="191"/>
    <n v="182"/>
  </r>
  <r>
    <s v="Assorbenti, materiali filtranti (inclusi i filtri dell'olio non specificati altrimenti), stracci e indumenti protettivi, contaminati da sostanze pericolose"/>
    <s v="15 02 02*"/>
    <x v="0"/>
    <x v="1"/>
    <m/>
    <m/>
    <n v="0"/>
    <m/>
  </r>
  <r>
    <s v="Veicoli fuori uso"/>
    <s v="16 01 04*"/>
    <x v="1"/>
    <x v="1"/>
    <m/>
    <m/>
    <n v="4760"/>
    <m/>
  </r>
  <r>
    <s v="Filtri dell'olio"/>
    <s v="16 01 07*"/>
    <x v="1"/>
    <x v="1"/>
    <n v="80"/>
    <m/>
    <n v="34"/>
    <n v="57"/>
  </r>
  <r>
    <s v="Filtri dell'olio"/>
    <s v="16 01 07*"/>
    <x v="0"/>
    <x v="1"/>
    <m/>
    <m/>
    <n v="0"/>
    <m/>
  </r>
  <r>
    <s v="Apparecchiature fuori uso contenenti componenti pericolosi diversi da quelli di cui alle voci 160209 a 160212"/>
    <s v="16 02 13*"/>
    <x v="1"/>
    <x v="1"/>
    <n v="51"/>
    <m/>
    <n v="23"/>
    <n v="55"/>
  </r>
  <r>
    <s v="Apparecchiature fuori uso, diverse da quelle di cui alle voci da 160209 a 160213"/>
    <s v="16 02 14"/>
    <x v="1"/>
    <x v="0"/>
    <n v="627"/>
    <m/>
    <n v="6592"/>
    <n v="471"/>
  </r>
  <r>
    <s v="Rifiuti i norganici conteneti sostanze pericolose"/>
    <s v="16 03 03*"/>
    <x v="0"/>
    <x v="1"/>
    <n v="318"/>
    <m/>
    <n v="0"/>
    <m/>
  </r>
  <r>
    <s v="Rifiuti organici, contenenti sostanze pericolose"/>
    <s v="16 03 05*"/>
    <x v="0"/>
    <x v="1"/>
    <n v="1681"/>
    <n v="1220"/>
    <n v="669"/>
    <n v="1926"/>
  </r>
  <r>
    <s v="Rifiuti organici diversi da quelli di cui alla voce 16 03 05"/>
    <s v="16 03 06"/>
    <x v="2"/>
    <x v="0"/>
    <m/>
    <m/>
    <m/>
    <n v="402"/>
  </r>
  <r>
    <s v="Rifiuti inorganici diversi da quelli di cui alla voce 16 03 03"/>
    <s v="16 03 04"/>
    <x v="1"/>
    <x v="0"/>
    <m/>
    <m/>
    <n v="1000"/>
    <m/>
  </r>
  <r>
    <s v="Gas in contenitori a pressione (compresi gli halon), contenenti sostanze pericolose"/>
    <s v="16 05 04*"/>
    <x v="1"/>
    <x v="1"/>
    <n v="9"/>
    <m/>
    <n v="0"/>
    <n v="46"/>
  </r>
  <r>
    <s v="Batterie al piombo"/>
    <s v="16 06 01*"/>
    <x v="1"/>
    <x v="1"/>
    <n v="55"/>
    <m/>
    <n v="0"/>
    <m/>
  </r>
  <r>
    <s v="Batterie al Niche - cadmio"/>
    <s v="16 06 02*"/>
    <x v="1"/>
    <x v="1"/>
    <m/>
    <m/>
    <n v="41"/>
    <n v="19"/>
  </r>
  <r>
    <s v="Batterie alcaline"/>
    <s v="16 06 04"/>
    <x v="1"/>
    <x v="0"/>
    <m/>
    <m/>
    <n v="0"/>
    <m/>
  </r>
  <r>
    <s v="Rifiuti contenenti oli"/>
    <s v="16 07 08*"/>
    <x v="1"/>
    <x v="1"/>
    <m/>
    <m/>
    <n v="0"/>
    <m/>
  </r>
  <r>
    <s v="Rame,bronzo,ottone"/>
    <s v="17 04 01  "/>
    <x v="1"/>
    <x v="0"/>
    <m/>
    <m/>
    <n v="1190"/>
    <m/>
  </r>
  <r>
    <s v="Alluminio"/>
    <s v="17 04 02"/>
    <x v="1"/>
    <x v="0"/>
    <m/>
    <m/>
    <n v="0"/>
    <m/>
  </r>
  <r>
    <s v="Ferro e acciaio"/>
    <s v="17 04 05"/>
    <x v="1"/>
    <x v="0"/>
    <n v="9570"/>
    <n v="10629"/>
    <n v="6340"/>
    <n v="2550"/>
  </r>
  <r>
    <s v="Metalli misti "/>
    <s v="17 04 07"/>
    <x v="1"/>
    <x v="0"/>
    <m/>
    <m/>
    <n v="1140"/>
    <m/>
  </r>
  <r>
    <s v="Terra e rocce, contenenti sostanze pericolose"/>
    <s v="17 05 03*"/>
    <x v="0"/>
    <x v="1"/>
    <m/>
    <m/>
    <n v="0"/>
    <m/>
  </r>
  <r>
    <s v="Altri materiali isolanti contenenti o costituiti da sostanze pericolose"/>
    <s v="17 06 03*"/>
    <x v="0"/>
    <x v="1"/>
    <m/>
    <m/>
    <n v="0"/>
    <m/>
  </r>
  <r>
    <s v="Rifiuti misti dell’attività di costruzione e demolizione,_x000a_diversi da quelli di cui alle voci 170901, 170902 e 170903"/>
    <s v="17 09 04"/>
    <x v="1"/>
    <x v="0"/>
    <m/>
    <m/>
    <n v="0"/>
    <m/>
  </r>
  <r>
    <s v="Tubi fluorescenti ed altri rifiuti contenenti mercurio"/>
    <s v="20 01 21*"/>
    <x v="1"/>
    <x v="1"/>
    <n v="32"/>
    <m/>
    <n v="43"/>
    <n v="15"/>
  </r>
  <r>
    <s v="Tubi fluorescenti ed altri rifiuti contenenti mercurio"/>
    <s v="20 01 21*"/>
    <x v="0"/>
    <x v="1"/>
    <m/>
    <m/>
    <n v="0"/>
    <m/>
  </r>
  <r>
    <s v="Imballaggi contenenti residui di sostanza pericolose o contaminati da tali sostanze"/>
    <s v="15 01 10*"/>
    <x v="0"/>
    <x v="1"/>
    <m/>
    <n v="610"/>
    <n v="1330"/>
    <n v="1010"/>
  </r>
  <r>
    <s v="Rifiuti in vetro derivanti da lavori di costruzione e demolizione"/>
    <s v="17 02 02"/>
    <x v="1"/>
    <x v="0"/>
    <m/>
    <n v="1210"/>
    <n v="0"/>
    <n v="590"/>
  </r>
  <r>
    <s v="Rifiuti di plastica provenienti da operazioni di costruzione e demolizione"/>
    <s v="17 02 03"/>
    <x v="1"/>
    <x v="0"/>
    <m/>
    <n v="50"/>
    <n v="0"/>
    <m/>
  </r>
  <r>
    <m/>
    <m/>
    <x v="2"/>
    <x v="2"/>
    <m/>
    <m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CA0213-BD5C-4337-BFB6-F165608FDF81}" name="Tabella pivot3" cacheId="5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K8:O18" firstHeaderRow="0" firstDataRow="1" firstDataCol="1"/>
  <pivotFields count="8"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/>
    <pivotField dataField="1" showAll="0"/>
  </pivotFields>
  <rowFields count="2">
    <field x="3"/>
    <field x="2"/>
  </rowFields>
  <rowItems count="10">
    <i>
      <x/>
    </i>
    <i r="1">
      <x/>
    </i>
    <i r="1">
      <x v="1"/>
    </i>
    <i r="1">
      <x v="2"/>
    </i>
    <i>
      <x v="1"/>
    </i>
    <i r="1">
      <x/>
    </i>
    <i r="1">
      <x v="1"/>
    </i>
    <i>
      <x v="2"/>
    </i>
    <i r="1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a di kg smaltiti_x000a_2022" fld="4" baseField="0" baseItem="0"/>
    <dataField name="Somma di kg smaltiti_x000a_2023" fld="5" baseField="0" baseItem="0"/>
    <dataField name="Somma di kg smaltiti_x000a_2024" fld="6" baseField="0" baseItem="0"/>
    <dataField name="Somma di kg smaltiti_x000a_2025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a2" displayName="Tabella2" ref="A2:F7" totalsRowShown="0" headerRowDxfId="228" dataDxfId="227" tableBorderDxfId="226">
  <autoFilter ref="A2:F7" xr:uid="{00000000-0009-0000-0100-000002000000}"/>
  <tableColumns count="6">
    <tableColumn id="1" xr3:uid="{00000000-0010-0000-0000-000001000000}" name="Anno" dataDxfId="225"/>
    <tableColumn id="2" xr3:uid="{00000000-0010-0000-0000-000002000000}" name="Trattamento irrestringibile" dataDxfId="224"/>
    <tableColumn id="3" xr3:uid="{00000000-0010-0000-0000-000003000000}" name="Tintoria tops e stampa" dataDxfId="223"/>
    <tableColumn id="4" xr3:uid="{00000000-0010-0000-0000-000004000000}" name="Tintoria Rocche" dataDxfId="222"/>
    <tableColumn id="5" xr3:uid="{00000000-0010-0000-0000-000005000000}" name="Tintoria Matasse" dataDxfId="221"/>
    <tableColumn id="6" xr3:uid="{00000000-0010-0000-0000-000006000000}" name="Tot .prodotto tinto" dataDxfId="220">
      <calculatedColumnFormula>SUM(C3:E3)</calculatedColumnFormula>
    </tableColumn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7000000}" name="Tabella13" displayName="Tabella13" ref="K91:S95" totalsRowShown="0" headerRowDxfId="122" tableBorderDxfId="121" headerRowCellStyle="Migliaia">
  <autoFilter ref="K91:S95" xr:uid="{00000000-0009-0000-0100-00000D000000}"/>
  <tableColumns count="9">
    <tableColumn id="1" xr3:uid="{00000000-0010-0000-0700-000001000000}" name="Anno" dataDxfId="120"/>
    <tableColumn id="2" xr3:uid="{00000000-0010-0000-0700-000002000000}" name="%" dataDxfId="119" dataCellStyle="Percentuale"/>
    <tableColumn id="3" xr3:uid="{00000000-0010-0000-0700-000003000000}" name="kWh" dataDxfId="118" dataCellStyle="Migliaia">
      <calculatedColumnFormula>#REF!*L92</calculatedColumnFormula>
    </tableColumn>
    <tableColumn id="4" xr3:uid="{00000000-0010-0000-0700-000004000000}" name="%2" dataDxfId="117" dataCellStyle="Percentuale"/>
    <tableColumn id="5" xr3:uid="{00000000-0010-0000-0700-000005000000}" name="kWh2" dataDxfId="116" dataCellStyle="Migliaia">
      <calculatedColumnFormula>#REF!*N92</calculatedColumnFormula>
    </tableColumn>
    <tableColumn id="6" xr3:uid="{00000000-0010-0000-0700-000006000000}" name="%3" dataDxfId="115" dataCellStyle="Percentuale"/>
    <tableColumn id="7" xr3:uid="{00000000-0010-0000-0700-000007000000}" name="kWh3" dataDxfId="114" dataCellStyle="Migliaia">
      <calculatedColumnFormula>#REF!*P92</calculatedColumnFormula>
    </tableColumn>
    <tableColumn id="8" xr3:uid="{00000000-0010-0000-0700-000008000000}" name="%4" dataDxfId="113" dataCellStyle="Percentuale">
      <calculatedColumnFormula>1-L92-N92-P92</calculatedColumnFormula>
    </tableColumn>
    <tableColumn id="9" xr3:uid="{00000000-0010-0000-0700-000009000000}" name="kWh4" dataDxfId="112" dataCellStyle="Migliaia">
      <calculatedColumnFormula>#REF!*R92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7AB26B-4E48-4732-89A2-E40CB03FCFE6}" name="Tab_En_El_acq" displayName="Tab_En_El_acq" ref="A4:E17" totalsRowCount="1" headerRowDxfId="111" dataDxfId="110">
  <autoFilter ref="A4:E16" xr:uid="{007AB26B-4E48-4732-89A2-E40CB03FCFE6}"/>
  <tableColumns count="5">
    <tableColumn id="1" xr3:uid="{37B0E0A9-8D40-4D35-B54C-C66FF811C97A}" name=" [kWh]" totalsRowLabel="Totale" dataDxfId="109" totalsRowDxfId="108"/>
    <tableColumn id="6" xr3:uid="{7F4DA4C2-EB97-48EF-94CF-1FCD5C240B05}" name="2022" totalsRowFunction="sum" dataDxfId="107" totalsRowDxfId="106"/>
    <tableColumn id="7" xr3:uid="{FF54CB01-7D60-4F95-BF7A-AD48A7CA78B1}" name="2023" totalsRowFunction="sum" dataDxfId="105" totalsRowDxfId="104"/>
    <tableColumn id="8" xr3:uid="{31703E7B-6361-479B-A56E-F388D5BE8E69}" name="2024" totalsRowFunction="sum" dataDxfId="103" totalsRowDxfId="102"/>
    <tableColumn id="9" xr3:uid="{162CABBC-5E86-498F-B3C7-F71BD29142A2}" name="2025" totalsRowFunction="sum" dataDxfId="101" totalsRowDxfId="10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1E29763-AC6B-491C-89CD-2C7CF1847366}" name="Tab_En_El_prod" displayName="Tab_En_El_prod" ref="A21:E34" totalsRowCount="1" headerRowDxfId="99" dataDxfId="98">
  <autoFilter ref="A21:E33" xr:uid="{51E29763-AC6B-491C-89CD-2C7CF1847366}"/>
  <tableColumns count="5">
    <tableColumn id="1" xr3:uid="{B74077C2-8E18-4F97-84B9-A2BD94FD3DBA}" name=" [kWh]" totalsRowLabel="Totale" dataDxfId="97" totalsRowDxfId="96"/>
    <tableColumn id="6" xr3:uid="{111E9477-A119-4ED6-88FC-A237554C4000}" name="2022" totalsRowFunction="sum" dataDxfId="95" totalsRowDxfId="94"/>
    <tableColumn id="7" xr3:uid="{E4C2187E-B334-4022-A103-6546464C1EFF}" name="2023" totalsRowFunction="sum" dataDxfId="93" totalsRowDxfId="92"/>
    <tableColumn id="8" xr3:uid="{65DC5CD1-1DC0-4C12-9D4D-6F5380AFA10B}" name="2024" totalsRowFunction="sum" dataDxfId="91" totalsRowDxfId="90"/>
    <tableColumn id="9" xr3:uid="{469DD5FF-BD36-42AF-B461-F1249FAAF265}" name="2025" totalsRowFunction="sum" dataDxfId="89" totalsRowDxfId="88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A1D1A2E-8BC1-4243-ABBE-AA4AA241695B}" name="Tab_En_El_vend" displayName="Tab_En_El_vend" ref="A38:E51" totalsRowCount="1" headerRowDxfId="87" dataDxfId="86">
  <autoFilter ref="A38:E50" xr:uid="{FA1D1A2E-8BC1-4243-ABBE-AA4AA241695B}"/>
  <tableColumns count="5">
    <tableColumn id="1" xr3:uid="{C554F978-8136-4C42-AD52-DD6B22AFA8DA}" name=" [kWh]" totalsRowLabel="Totale" dataDxfId="85" totalsRowDxfId="84"/>
    <tableColumn id="6" xr3:uid="{BB11A2DE-EFF6-46F4-B303-DA55E6158443}" name="2022" totalsRowFunction="sum" dataDxfId="83" totalsRowDxfId="82"/>
    <tableColumn id="7" xr3:uid="{FB2B6C46-2B7D-4E6A-B1D0-02F7A5A7C0C0}" name="2023" totalsRowFunction="sum" dataDxfId="81" totalsRowDxfId="80"/>
    <tableColumn id="8" xr3:uid="{52869F85-9F70-4D7C-BA83-085305E67E8C}" name="2024" totalsRowFunction="sum" dataDxfId="79" totalsRowDxfId="78"/>
    <tableColumn id="9" xr3:uid="{45ED2EDC-892F-42E7-BDF0-A6A1A05031EC}" name="2025" totalsRowFunction="sum" dataDxfId="77" totalsRowDxfId="76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03FDD8A-6A89-4FA5-8967-320291DBC97D}" name="Tab_En_El_cog" displayName="Tab_En_El_cog" ref="A55:E68" totalsRowCount="1" headerRowDxfId="75" dataDxfId="74">
  <autoFilter ref="A55:E67" xr:uid="{403FDD8A-6A89-4FA5-8967-320291DBC97D}"/>
  <tableColumns count="5">
    <tableColumn id="1" xr3:uid="{69D39746-A923-45CE-88E6-9DCE8C62C88C}" name=" [kWh]" totalsRowLabel="Totale" dataDxfId="73" totalsRowDxfId="72"/>
    <tableColumn id="6" xr3:uid="{72BC631B-0D1E-465C-88A1-E9E28C2F0A65}" name="2022" totalsRowFunction="sum" dataDxfId="71" totalsRowDxfId="70"/>
    <tableColumn id="7" xr3:uid="{8FA5791E-D3F0-42DD-BFB1-DDB4F4368972}" name="2023" totalsRowFunction="sum" dataDxfId="69" totalsRowDxfId="68"/>
    <tableColumn id="8" xr3:uid="{671EB467-3102-4D05-8506-40256AF6981D}" name="2024" totalsRowFunction="sum" dataDxfId="67" totalsRowDxfId="66"/>
    <tableColumn id="9" xr3:uid="{D2D380BB-4377-4F18-950A-FFE38E73ABDF}" name="2025" totalsRowFunction="sum" dataDxfId="65" totalsRowDxfId="64"/>
  </tableColumns>
  <tableStyleInfo name="TableStyleMedium4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C7E4EF9-7DEA-4841-B10D-D037D272D0C9}" name="Tab_En_El_cons" displayName="Tab_En_El_cons" ref="A72:E85" totalsRowCount="1" headerRowDxfId="63" dataDxfId="62">
  <autoFilter ref="A72:E84" xr:uid="{2C7E4EF9-7DEA-4841-B10D-D037D272D0C9}"/>
  <tableColumns count="5">
    <tableColumn id="1" xr3:uid="{3714AFCC-3811-4737-9B39-6F33B00BE7E9}" name=" [kWh]" totalsRowLabel="Totale" dataDxfId="61" totalsRowDxfId="60"/>
    <tableColumn id="6" xr3:uid="{77097DBB-480E-4C89-A7CE-0094FB74DF56}" name="2022" totalsRowFunction="sum" dataDxfId="59" totalsRowDxfId="58">
      <calculatedColumnFormula>B5+B22-B39+B56</calculatedColumnFormula>
    </tableColumn>
    <tableColumn id="7" xr3:uid="{218B201D-1A07-495D-9183-484518DD29AB}" name="2023" totalsRowFunction="sum" dataDxfId="57" totalsRowDxfId="56">
      <calculatedColumnFormula>C5+C22-C39+C56</calculatedColumnFormula>
    </tableColumn>
    <tableColumn id="8" xr3:uid="{72BD09E9-E70E-4A92-BA18-9DA389C0B38B}" name="2024" totalsRowFunction="sum" dataDxfId="55" totalsRowDxfId="54">
      <calculatedColumnFormula>D5+D22-D39+D56</calculatedColumnFormula>
    </tableColumn>
    <tableColumn id="9" xr3:uid="{AC1842AF-2D5E-4968-8EA4-58A9A00984EE}" name="2025" totalsRowFunction="sum" dataDxfId="53" totalsRowDxfId="52">
      <calculatedColumnFormula>E5+E22-E39+E56</calculatedColumnFormula>
    </tableColumn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BF578C-C5F7-4F30-B8F0-2BA18D247A58}" name="Tab_Rifiuti" displayName="Tab_Rifiuti" ref="A4:H44" totalsRowCount="1" headerRowDxfId="51" dataDxfId="50" totalsRowDxfId="49">
  <autoFilter ref="A4:H43" xr:uid="{00000000-0009-0000-0100-000022000000}"/>
  <tableColumns count="8">
    <tableColumn id="1" xr3:uid="{00000000-0010-0000-3300-000001000000}" name="Descrizione rifiuto" totalsRowLabel="TOTALE" dataDxfId="48" totalsRowDxfId="47"/>
    <tableColumn id="2" xr3:uid="{00000000-0010-0000-3300-000002000000}" name="Codice CER" dataDxfId="46" totalsRowDxfId="45"/>
    <tableColumn id="3" xr3:uid="{00000000-0010-0000-3300-000003000000}" name="R/D" dataDxfId="44" totalsRowDxfId="43"/>
    <tableColumn id="9" xr3:uid="{00000000-0010-0000-3300-000009000000}" name="P/NP" dataDxfId="42" totalsRowDxfId="41"/>
    <tableColumn id="10" xr3:uid="{00000000-0010-0000-3300-00000A000000}" name="kg smaltiti_x000a_2022" totalsRowFunction="sum" dataDxfId="40" totalsRowDxfId="39" dataCellStyle="Migliaia"/>
    <tableColumn id="5" xr3:uid="{00000000-0010-0000-3300-000005000000}" name="kg smaltiti_x000a_2023" totalsRowFunction="sum" dataDxfId="38" totalsRowDxfId="37" dataCellStyle="Migliaia"/>
    <tableColumn id="7" xr3:uid="{00000000-0010-0000-3300-000007000000}" name="kg smaltiti_x000a_2024" totalsRowFunction="sum" dataDxfId="36" totalsRowDxfId="35" dataCellStyle="Migliaia"/>
    <tableColumn id="11" xr3:uid="{00000000-0010-0000-3300-00000B000000}" name="kg smaltiti_x000a_2025" totalsRowFunction="sum" dataDxfId="34" totalsRowDxfId="33" dataCellStyle="Migliaia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D713CBA-F2D4-4EE5-99F8-747C60E45B6E}" name="Tab_Rifiuti_Anno" displayName="Tab_Rifiuti_Anno" ref="A47:J51" totalsRowShown="0" headerRowDxfId="32" dataDxfId="30" headerRowBorderDxfId="31" tableBorderDxfId="29" totalsRowBorderDxfId="28">
  <autoFilter ref="A47:J51" xr:uid="{00000000-0009-0000-0100-000023000000}"/>
  <tableColumns count="10">
    <tableColumn id="1" xr3:uid="{00000000-0010-0000-3400-000001000000}" name="Anno" dataDxfId="27"/>
    <tableColumn id="2" xr3:uid="{00000000-0010-0000-3400-000002000000}" name="Totale rifiuti smaltiti" dataDxfId="26">
      <calculatedColumnFormula>#REF!</calculatedColumnFormula>
    </tableColumn>
    <tableColumn id="3" xr3:uid="{00000000-0010-0000-3400-000003000000}" name="Totale rifiuti avviati a recupero" dataDxfId="25">
      <calculatedColumnFormula>SUMIF(Tab_Rifiuti[R/D],"=R",#REF!)</calculatedColumnFormula>
    </tableColumn>
    <tableColumn id="4" xr3:uid="{00000000-0010-0000-3400-000004000000}" name="Totale rifiuti avviati a smaltimento" dataDxfId="24" dataCellStyle="Normale 3 2">
      <calculatedColumnFormula>SUMIF(Tab_Rifiuti[R/D],"=D",#REF!)</calculatedColumnFormula>
    </tableColumn>
    <tableColumn id="5" xr3:uid="{00000000-0010-0000-3400-000005000000}" name="Frazione recuperata" dataDxfId="23">
      <calculatedColumnFormula>Tab_Rifiuti_Anno[[#This Row],[Totale rifiuti avviati a recupero]]/Tab_Rifiuti_Anno[[#This Row],[Totale rifiuti smaltiti]]</calculatedColumnFormula>
    </tableColumn>
    <tableColumn id="7" xr3:uid="{00000000-0010-0000-3400-000007000000}" name="Totale rifiuti pericolosi" dataDxfId="22" dataCellStyle="Normale 3 2">
      <calculatedColumnFormula>SUMIF(Tab_Rifiuti[P/NP],"=P",#REF!)</calculatedColumnFormula>
    </tableColumn>
    <tableColumn id="8" xr3:uid="{00000000-0010-0000-3400-000008000000}" name="Totale rifiuti NON pericolosi" dataDxfId="21">
      <calculatedColumnFormula>Tab_Rifiuti_Anno[[#This Row],[Totale rifiuti smaltiti]]-Tab_Rifiuti_Anno[[#This Row],[Totale rifiuti pericolosi]]</calculatedColumnFormula>
    </tableColumn>
    <tableColumn id="12" xr3:uid="{00000000-0010-0000-3400-00000C000000}" name="Fanghi" dataDxfId="20">
      <calculatedColumnFormula>#REF!</calculatedColumnFormula>
    </tableColumn>
    <tableColumn id="13" xr3:uid="{00000000-0010-0000-3400-00000D000000}" name="Rifiuti da fibre tessili lavorate" dataDxfId="19">
      <calculatedColumnFormula>#REF!</calculatedColumnFormula>
    </tableColumn>
    <tableColumn id="14" xr3:uid="{00000000-0010-0000-3400-00000E000000}" name="Rifiuti  ESCLUSI quelli da fanghi e fibre tessli lavorate" dataDxfId="18">
      <calculatedColumnFormula>Tab_Rifiuti_Anno[[#This Row],[Totale rifiuti smaltiti]]-Tab_Rifiuti_Anno[[#This Row],[Fanghi]]-Tab_Rifiuti_Anno[[#This Row],[Rifiuti da fibre tessili lavorate]]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66A53B-E340-40FC-8093-3C6D3A8C63B7}" name="Tabella115" displayName="Tabella115" ref="A3:E14" totalsRowShown="0" headerRowDxfId="17" dataDxfId="16">
  <autoFilter ref="A3:E14" xr:uid="{61527A66-E447-40B3-9D4F-FB90B53A7C59}"/>
  <tableColumns count="5">
    <tableColumn id="1" xr3:uid="{753DAA50-C01D-4CAA-9F90-3E065E2C5F0A}" name="N.identificativo area di stoccaggio" dataDxfId="15"/>
    <tableColumn id="2" xr3:uid="{9F874BF5-6BDE-4EE3-A829-8232EA4D7C30}" name="Descrizione" dataDxfId="14"/>
    <tableColumn id="3" xr3:uid="{9A2A83D5-5BA1-4928-95BC-59FCF45271F6}" name="Sistema di contenimento" dataDxfId="13"/>
    <tableColumn id="4" xr3:uid="{673B4CFC-5503-4136-AB27-1397FC0ECE0C}" name="Data e descrizione ultimo intervento di matunenzione/prove di tenuta" dataDxfId="12"/>
    <tableColumn id="5" xr3:uid="{54151061-4AA0-4C41-85B1-B7AF809FD1D5}" name="riferimento al documento interno di manutenzione e controllo" dataDxfId="11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2000000}" name="Tabella16" displayName="Tabella16" ref="B1:G38" totalsRowShown="0" headerRowDxfId="10" dataDxfId="9">
  <autoFilter ref="B1:G38" xr:uid="{00000000-0009-0000-0100-000010000000}"/>
  <tableColumns count="6">
    <tableColumn id="1" xr3:uid="{00000000-0010-0000-1200-000001000000}" name="Colonna1" dataDxfId="8"/>
    <tableColumn id="2" xr3:uid="{00000000-0010-0000-1200-000002000000}" name="Anno" dataDxfId="7"/>
    <tableColumn id="17" xr3:uid="{16383C9C-56A9-4353-8312-BDC792ABE07C}" name="2022" dataDxfId="6"/>
    <tableColumn id="18" xr3:uid="{BAE548EB-E661-44F3-A766-7E73FC9C4B48}" name="2023" dataDxfId="5"/>
    <tableColumn id="19" xr3:uid="{675A57B2-D038-455A-8456-557171BF1DD0}" name="2024" dataDxfId="4"/>
    <tableColumn id="6" xr3:uid="{785FDDAE-91EE-4989-A99D-867EAB62F21B}" name="2025" dataDxfId="3">
      <calculatedColumnFormula>Produzione!E4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la3" displayName="Tabella3" ref="A4:F26" totalsRowCount="1" headerRowDxfId="219" dataDxfId="217" totalsRowDxfId="215" headerRowBorderDxfId="218" tableBorderDxfId="216" totalsRowBorderDxfId="214">
  <autoFilter ref="A4:F25" xr:uid="{00000000-0009-0000-0100-000003000000}"/>
  <tableColumns count="6">
    <tableColumn id="1" xr3:uid="{00000000-0010-0000-0100-000001000000}" name="Prodotto" totalsRowLabel="TOTALE" dataDxfId="213" totalsRowDxfId="212"/>
    <tableColumn id="2" xr3:uid="{00000000-0010-0000-0100-000002000000}" name="Stato fisico" dataDxfId="211" totalsRowDxfId="210"/>
    <tableColumn id="16" xr3:uid="{2D6F6F82-67B2-4089-B465-8D508F5EF851}" name="2022" totalsRowFunction="sum" dataDxfId="209" totalsRowDxfId="208"/>
    <tableColumn id="17" xr3:uid="{87429864-0A23-4D83-9C8C-58A3DD81042E}" name="2023" totalsRowFunction="sum" dataDxfId="207" totalsRowDxfId="206"/>
    <tableColumn id="18" xr3:uid="{203EDAC7-272F-45F6-81EF-9E66E3369A87}" name="2024" totalsRowFunction="sum" dataDxfId="205" totalsRowDxfId="204"/>
    <tableColumn id="19" xr3:uid="{3B379A85-4702-486D-BB83-D4D5910D4554}" name="2025" totalsRowFunction="sum" dataDxfId="203" totalsRowDxfId="20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ella5" displayName="Tabella5" ref="A68:F71" totalsRowShown="0" headerRowDxfId="201" dataDxfId="199" headerRowBorderDxfId="200" tableBorderDxfId="198" totalsRowBorderDxfId="197">
  <autoFilter ref="A68:F71" xr:uid="{00000000-0009-0000-0100-000005000000}"/>
  <tableColumns count="6">
    <tableColumn id="1" xr3:uid="{00000000-0010-0000-0200-000001000000}" name="Colonna1" dataDxfId="196"/>
    <tableColumn id="2" xr3:uid="{00000000-0010-0000-0200-000002000000}" name="Colonna2" dataDxfId="195"/>
    <tableColumn id="16" xr3:uid="{9512144A-0266-4BB1-914D-D1EF479AA570}" name="2022" dataDxfId="194"/>
    <tableColumn id="17" xr3:uid="{87573237-711D-4B78-B186-36BED30387F9}" name="2023" dataDxfId="193"/>
    <tableColumn id="18" xr3:uid="{64504AD5-D981-4BC4-8517-6C0073C78424}" name="2024" dataDxfId="192"/>
    <tableColumn id="19" xr3:uid="{1CDA6DC2-FE2E-4E56-981A-03069FEBA2FA}" name="2025" dataDxfId="19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ella6" displayName="Tabella6" ref="A74:F82" totalsRowShown="0" headerRowDxfId="190" dataDxfId="189" tableBorderDxfId="188" headerRowCellStyle="Percentuale">
  <autoFilter ref="A74:F82" xr:uid="{00000000-0009-0000-0100-000006000000}"/>
  <tableColumns count="6">
    <tableColumn id="1" xr3:uid="{00000000-0010-0000-0300-000001000000}" name="Colonna1" dataDxfId="187"/>
    <tableColumn id="2" xr3:uid="{00000000-0010-0000-0300-000002000000}" name="Colonna2" dataDxfId="186"/>
    <tableColumn id="16" xr3:uid="{19F2684F-771B-44C2-A379-2E01A79FA7C8}" name="2022" dataDxfId="185"/>
    <tableColumn id="17" xr3:uid="{09147D59-9068-4E39-A611-20D78F83FCBE}" name="2023" dataDxfId="184"/>
    <tableColumn id="18" xr3:uid="{8BD91699-F005-411D-AA30-BF5F62136A4F}" name="2024" dataDxfId="183" dataCellStyle="Percentuale"/>
    <tableColumn id="19" xr3:uid="{06722FFB-9297-4766-BEDE-5AC366173B90}" name="2025" dataDxfId="18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B0385A1-84DA-4A38-8D5A-C78B5F41DCAA}" name="Tab_Pozzo3" displayName="Tab_Pozzo3" ref="A4:E17" totalsRowCount="1" headerRowDxfId="181" dataDxfId="180">
  <autoFilter ref="A4:E16" xr:uid="{4B0385A1-84DA-4A38-8D5A-C78B5F41DCAA}"/>
  <tableColumns count="5">
    <tableColumn id="1" xr3:uid="{DABEE532-B4B8-4919-BF19-550FFCFBD39A}" name=" [m3]" totalsRowLabel="Totale" dataDxfId="179" totalsRowDxfId="178"/>
    <tableColumn id="6" xr3:uid="{54ED1EDA-BFB9-4796-AA61-FB4D074F035C}" name="2022" totalsRowFunction="sum" totalsRowDxfId="177"/>
    <tableColumn id="7" xr3:uid="{9D63AA00-30B5-49AF-AA29-DAB20C16370F}" name="2023" totalsRowFunction="sum" dataDxfId="176" totalsRowDxfId="175"/>
    <tableColumn id="8" xr3:uid="{7CD198B1-DD9D-4AC7-A31B-DC2F9C7E50D8}" name="2024" totalsRowFunction="sum" dataDxfId="174" totalsRowDxfId="173"/>
    <tableColumn id="9" xr3:uid="{C92A1532-FF02-4C89-9564-C45C1BE7014F}" name="2025" totalsRowFunction="sum" dataDxfId="172" totalsRowDxfId="17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70A89B3-A748-4EE9-873A-F24EC67BD606}" name="Tab_Pozzo4" displayName="Tab_Pozzo4" ref="A20:E33" totalsRowCount="1" headerRowDxfId="170" dataDxfId="169">
  <autoFilter ref="A20:E32" xr:uid="{A70A89B3-A748-4EE9-873A-F24EC67BD606}"/>
  <tableColumns count="5">
    <tableColumn id="1" xr3:uid="{F0CA6750-3DEB-4048-A4E3-CDB8E444C587}" name=" [m3]" totalsRowLabel="Totale" dataDxfId="168" totalsRowDxfId="167"/>
    <tableColumn id="6" xr3:uid="{900E497C-8524-4F8F-A7E9-751E011FB906}" name="2022" totalsRowFunction="sum" dataDxfId="166" totalsRowDxfId="165"/>
    <tableColumn id="7" xr3:uid="{6F14E3C3-77AE-4B3F-9978-29E60B1EF47B}" name="2023" totalsRowFunction="sum" dataDxfId="164" totalsRowDxfId="163"/>
    <tableColumn id="8" xr3:uid="{1569380C-902B-447C-88AC-4A58AD3A1166}" name="2024" totalsRowFunction="sum" dataDxfId="162" totalsRowDxfId="161"/>
    <tableColumn id="9" xr3:uid="{41434E88-FAB0-44C5-B4F6-67B1F9778B74}" name="2025" totalsRowFunction="sum" dataDxfId="160" totalsRowDxfId="15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2D134A2-52CE-4480-8709-9C785161593D}" name="Tab_Pozzo5" displayName="Tab_Pozzo5" ref="A36:E49" totalsRowCount="1" headerRowDxfId="158" dataDxfId="157">
  <autoFilter ref="A36:E48" xr:uid="{62D134A2-52CE-4480-8709-9C785161593D}"/>
  <tableColumns count="5">
    <tableColumn id="1" xr3:uid="{B25E950E-A957-4088-AA3D-3CEC0E65A069}" name=" [m3]" totalsRowLabel="Totale" dataDxfId="156" totalsRowDxfId="155"/>
    <tableColumn id="6" xr3:uid="{9BD78CA2-3C38-4748-9A9B-C37645DDDB23}" name="2022" totalsRowFunction="sum" dataDxfId="154" totalsRowDxfId="153"/>
    <tableColumn id="7" xr3:uid="{81E6BD5C-D48F-4AE8-9A33-8A7673506883}" name="2023" totalsRowFunction="sum" dataDxfId="152" totalsRowDxfId="151"/>
    <tableColumn id="8" xr3:uid="{2A476F5C-37DE-474D-87A8-6787A9DA8C47}" name="2024" totalsRowFunction="sum" dataDxfId="150" totalsRowDxfId="149"/>
    <tableColumn id="9" xr3:uid="{1C133603-66ED-46CE-B013-BAC20EE20EA0}" name="2025" totalsRowFunction="sum" dataDxfId="148" totalsRowDxfId="14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E3C6F36-67FE-4DB0-A753-E9185650F937}" name="Tab_Pozzo6" displayName="Tab_Pozzo6" ref="A52:E65" totalsRowCount="1" headerRowDxfId="146" dataDxfId="145">
  <autoFilter ref="A52:E64" xr:uid="{3E3C6F36-67FE-4DB0-A753-E9185650F937}"/>
  <tableColumns count="5">
    <tableColumn id="1" xr3:uid="{60F7C8A8-B3B1-40F1-BEA3-C5FA974829C2}" name=" [m3]" totalsRowLabel="Totale" dataDxfId="144" totalsRowDxfId="143"/>
    <tableColumn id="6" xr3:uid="{238A3587-5DCA-435B-A525-697D19829EBE}" name="2022" totalsRowFunction="sum" dataDxfId="142" totalsRowDxfId="141"/>
    <tableColumn id="7" xr3:uid="{A88BD057-70D6-4B01-A711-A2194FC7D4E6}" name="2023" totalsRowFunction="sum" dataDxfId="140" totalsRowDxfId="139"/>
    <tableColumn id="8" xr3:uid="{C4E76047-B7F5-4386-BB82-AB6EA77AE2C1}" name="2024" totalsRowFunction="sum" dataDxfId="138" totalsRowDxfId="137"/>
    <tableColumn id="9" xr3:uid="{9BE2F6D5-433C-4927-BCD9-A503CCD51A1A}" name="2025" totalsRowFunction="sum" dataDxfId="136" totalsRowDxfId="135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6000000}" name="Tabella12" displayName="Tabella12" ref="C91:I95" totalsRowShown="0" headerRowDxfId="134" dataDxfId="132" headerRowBorderDxfId="133" tableBorderDxfId="131" totalsRowBorderDxfId="130">
  <autoFilter ref="C91:I95" xr:uid="{00000000-0009-0000-0100-00000C000000}"/>
  <tableColumns count="7">
    <tableColumn id="1" xr3:uid="{00000000-0010-0000-0600-000001000000}" name="Anno" dataDxfId="129"/>
    <tableColumn id="2" xr3:uid="{00000000-0010-0000-0600-000002000000}" name="Prodotta fotovoltaico_x000a_[kWh]" dataDxfId="128"/>
    <tableColumn id="3" xr3:uid="{00000000-0010-0000-0600-000003000000}" name="Venduta fotovoltaico_x000a_[kWh]" dataDxfId="127">
      <calculatedColumnFormula>Tab_En_El_vend[[#Totals],[2023]]</calculatedColumnFormula>
    </tableColumn>
    <tableColumn id="4" xr3:uid="{00000000-0010-0000-0600-000004000000}" name="Prodotta cogenerazione_x000a_[kWh]" dataDxfId="126">
      <calculatedColumnFormula>Tab_En_El_cog[[#Totals],[2022]]</calculatedColumnFormula>
    </tableColumn>
    <tableColumn id="5" xr3:uid="{00000000-0010-0000-0600-000005000000}" name="Venduta cogenerazione_x000a_[kWh]" dataDxfId="125"/>
    <tableColumn id="6" xr3:uid="{00000000-0010-0000-0600-000006000000}" name="Acquistata_x000a_[kWh]" dataDxfId="124">
      <calculatedColumnFormula>Tab_En_El_acq[[#Totals],[2022]]</calculatedColumnFormula>
    </tableColumn>
    <tableColumn id="7" xr3:uid="{00000000-0010-0000-0600-000007000000}" name="Consumata_x000a_[kWh]" dataDxfId="12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drawing" Target="../drawings/drawing3.xml"/><Relationship Id="rId7" Type="http://schemas.openxmlformats.org/officeDocument/2006/relationships/table" Target="../tables/table17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1.xml"/><Relationship Id="rId6" Type="http://schemas.openxmlformats.org/officeDocument/2006/relationships/table" Target="../tables/table16.xml"/><Relationship Id="rId5" Type="http://schemas.openxmlformats.org/officeDocument/2006/relationships/vmlDrawing" Target="../drawings/vmlDrawing5.v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workbookViewId="0">
      <selection activeCell="B30" sqref="B30"/>
    </sheetView>
  </sheetViews>
  <sheetFormatPr defaultColWidth="9.140625" defaultRowHeight="15.75" x14ac:dyDescent="0.25"/>
  <cols>
    <col min="1" max="8" width="9.140625" style="21"/>
    <col min="9" max="9" width="13.42578125" style="21" customWidth="1"/>
    <col min="10" max="16384" width="9.140625" style="21"/>
  </cols>
  <sheetData>
    <row r="1" spans="1:9" ht="22.5" customHeight="1" x14ac:dyDescent="0.25">
      <c r="A1" s="22" t="s">
        <v>107</v>
      </c>
    </row>
    <row r="2" spans="1:9" ht="22.5" customHeight="1" x14ac:dyDescent="0.25">
      <c r="A2" s="21" t="s">
        <v>108</v>
      </c>
    </row>
    <row r="3" spans="1:9" ht="22.5" customHeight="1" x14ac:dyDescent="0.25">
      <c r="A3" s="21" t="s">
        <v>109</v>
      </c>
    </row>
    <row r="15" spans="1:9" ht="21.75" x14ac:dyDescent="0.3">
      <c r="A15" s="344" t="s">
        <v>19</v>
      </c>
      <c r="B15" s="344"/>
      <c r="C15" s="344"/>
      <c r="D15" s="344"/>
      <c r="E15" s="344"/>
      <c r="F15" s="344"/>
      <c r="G15" s="344"/>
      <c r="H15" s="344"/>
      <c r="I15" s="344"/>
    </row>
    <row r="26" spans="1:9" ht="27" x14ac:dyDescent="0.35">
      <c r="A26" s="345" t="s">
        <v>18</v>
      </c>
      <c r="B26" s="345"/>
      <c r="C26" s="345"/>
      <c r="D26" s="345"/>
      <c r="E26" s="345"/>
      <c r="F26" s="345"/>
      <c r="G26" s="345"/>
      <c r="H26" s="345"/>
      <c r="I26" s="345"/>
    </row>
    <row r="42" spans="1:9" s="25" customFormat="1" ht="25.5" customHeight="1" x14ac:dyDescent="0.2">
      <c r="A42" s="23" t="s">
        <v>407</v>
      </c>
      <c r="B42" s="24"/>
      <c r="C42" s="24"/>
      <c r="D42" s="24"/>
      <c r="E42" s="24"/>
      <c r="F42" s="24"/>
      <c r="G42" s="24"/>
      <c r="H42" s="24"/>
      <c r="I42" s="26"/>
    </row>
  </sheetData>
  <mergeCells count="2">
    <mergeCell ref="A15:I15"/>
    <mergeCell ref="A26:I2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&amp;LStampa  del 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CA5C4-120A-4A00-AE73-485347F361A8}">
  <sheetPr>
    <tabColor rgb="FF7030A0"/>
  </sheetPr>
  <dimension ref="A1:F14"/>
  <sheetViews>
    <sheetView workbookViewId="0">
      <selection activeCell="F12" sqref="F12"/>
    </sheetView>
  </sheetViews>
  <sheetFormatPr defaultColWidth="9.140625" defaultRowHeight="12.75" x14ac:dyDescent="0.2"/>
  <cols>
    <col min="1" max="1" width="17" style="332" bestFit="1" customWidth="1"/>
    <col min="2" max="2" width="37.42578125" style="332" bestFit="1" customWidth="1"/>
    <col min="3" max="3" width="30.42578125" style="332" bestFit="1" customWidth="1"/>
    <col min="4" max="5" width="16.28515625" style="332" bestFit="1" customWidth="1"/>
    <col min="6" max="6" width="15.7109375" style="332" bestFit="1" customWidth="1"/>
    <col min="7" max="16384" width="9.140625" style="332"/>
  </cols>
  <sheetData>
    <row r="1" spans="1:6" ht="18.75" customHeight="1" x14ac:dyDescent="0.2">
      <c r="A1" s="372" t="s">
        <v>369</v>
      </c>
      <c r="B1" s="372"/>
      <c r="C1" s="372"/>
      <c r="D1" s="372"/>
      <c r="E1" s="334"/>
      <c r="F1" s="334"/>
    </row>
    <row r="3" spans="1:6" ht="63.75" x14ac:dyDescent="0.2">
      <c r="A3" s="333" t="s">
        <v>370</v>
      </c>
      <c r="B3" s="333" t="s">
        <v>371</v>
      </c>
      <c r="C3" s="333" t="s">
        <v>383</v>
      </c>
      <c r="D3" s="333" t="s">
        <v>384</v>
      </c>
      <c r="E3" s="333" t="s">
        <v>385</v>
      </c>
    </row>
    <row r="4" spans="1:6" ht="19.5" customHeight="1" x14ac:dyDescent="0.2">
      <c r="A4" s="335" t="s">
        <v>386</v>
      </c>
      <c r="B4" s="336" t="s">
        <v>387</v>
      </c>
      <c r="C4" s="335" t="s">
        <v>368</v>
      </c>
      <c r="D4" s="335" t="s">
        <v>388</v>
      </c>
      <c r="E4" s="335" t="s">
        <v>389</v>
      </c>
    </row>
    <row r="5" spans="1:6" ht="19.5" customHeight="1" x14ac:dyDescent="0.2">
      <c r="A5" s="335" t="s">
        <v>390</v>
      </c>
      <c r="B5" s="336" t="s">
        <v>391</v>
      </c>
      <c r="C5" s="335" t="s">
        <v>392</v>
      </c>
      <c r="D5" s="335" t="s">
        <v>388</v>
      </c>
      <c r="E5" s="335" t="s">
        <v>389</v>
      </c>
    </row>
    <row r="6" spans="1:6" ht="19.5" customHeight="1" x14ac:dyDescent="0.2">
      <c r="A6" s="335" t="s">
        <v>393</v>
      </c>
      <c r="B6" s="336" t="s">
        <v>394</v>
      </c>
      <c r="C6" s="335" t="s">
        <v>392</v>
      </c>
      <c r="D6" s="335" t="s">
        <v>388</v>
      </c>
      <c r="E6" s="335" t="s">
        <v>389</v>
      </c>
    </row>
    <row r="7" spans="1:6" ht="19.5" customHeight="1" x14ac:dyDescent="0.2">
      <c r="A7" s="335" t="s">
        <v>372</v>
      </c>
      <c r="B7" s="336" t="s">
        <v>373</v>
      </c>
      <c r="C7" s="335" t="s">
        <v>395</v>
      </c>
      <c r="D7" s="335" t="s">
        <v>388</v>
      </c>
      <c r="E7" s="335" t="s">
        <v>389</v>
      </c>
    </row>
    <row r="8" spans="1:6" ht="19.5" customHeight="1" x14ac:dyDescent="0.2">
      <c r="A8" s="335" t="s">
        <v>374</v>
      </c>
      <c r="B8" s="336" t="s">
        <v>396</v>
      </c>
      <c r="C8" s="335" t="s">
        <v>397</v>
      </c>
      <c r="D8" s="335" t="s">
        <v>388</v>
      </c>
      <c r="E8" s="335" t="s">
        <v>389</v>
      </c>
    </row>
    <row r="9" spans="1:6" ht="19.5" customHeight="1" x14ac:dyDescent="0.2">
      <c r="A9" s="335" t="s">
        <v>375</v>
      </c>
      <c r="B9" s="336" t="s">
        <v>398</v>
      </c>
      <c r="C9" s="335" t="s">
        <v>397</v>
      </c>
      <c r="D9" s="335" t="s">
        <v>388</v>
      </c>
      <c r="E9" s="335" t="s">
        <v>389</v>
      </c>
    </row>
    <row r="10" spans="1:6" ht="19.5" customHeight="1" x14ac:dyDescent="0.2">
      <c r="A10" s="335" t="s">
        <v>399</v>
      </c>
      <c r="B10" s="336" t="s">
        <v>400</v>
      </c>
      <c r="C10" s="335" t="s">
        <v>368</v>
      </c>
      <c r="D10" s="335" t="s">
        <v>388</v>
      </c>
      <c r="E10" s="335" t="s">
        <v>389</v>
      </c>
    </row>
    <row r="11" spans="1:6" ht="19.5" customHeight="1" x14ac:dyDescent="0.2">
      <c r="A11" s="335" t="s">
        <v>376</v>
      </c>
      <c r="B11" s="336" t="s">
        <v>377</v>
      </c>
      <c r="C11" s="335" t="s">
        <v>368</v>
      </c>
      <c r="D11" s="335" t="s">
        <v>388</v>
      </c>
      <c r="E11" s="335" t="s">
        <v>389</v>
      </c>
    </row>
    <row r="12" spans="1:6" ht="19.5" customHeight="1" x14ac:dyDescent="0.2">
      <c r="A12" s="335" t="s">
        <v>378</v>
      </c>
      <c r="B12" s="336" t="s">
        <v>379</v>
      </c>
      <c r="C12" s="335" t="s">
        <v>392</v>
      </c>
      <c r="D12" s="335" t="s">
        <v>388</v>
      </c>
      <c r="E12" s="335" t="s">
        <v>389</v>
      </c>
    </row>
    <row r="13" spans="1:6" ht="19.5" customHeight="1" x14ac:dyDescent="0.2">
      <c r="A13" s="335" t="s">
        <v>401</v>
      </c>
      <c r="B13" s="336" t="s">
        <v>402</v>
      </c>
      <c r="C13" s="335" t="s">
        <v>368</v>
      </c>
      <c r="D13" s="335" t="s">
        <v>388</v>
      </c>
      <c r="E13" s="335" t="s">
        <v>389</v>
      </c>
    </row>
    <row r="14" spans="1:6" ht="19.5" customHeight="1" x14ac:dyDescent="0.2">
      <c r="A14" s="335" t="s">
        <v>403</v>
      </c>
      <c r="B14" s="336" t="s">
        <v>404</v>
      </c>
      <c r="C14" s="335" t="s">
        <v>392</v>
      </c>
      <c r="D14" s="335" t="s">
        <v>388</v>
      </c>
      <c r="E14" s="335" t="s">
        <v>389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9"/>
  <sheetViews>
    <sheetView tabSelected="1" zoomScaleNormal="100" workbookViewId="0">
      <pane xSplit="1" topLeftCell="B1" activePane="topRight" state="frozen"/>
      <selection pane="topRight" activeCell="J6" sqref="J6"/>
    </sheetView>
  </sheetViews>
  <sheetFormatPr defaultColWidth="9.140625" defaultRowHeight="12.75" x14ac:dyDescent="0.2"/>
  <cols>
    <col min="1" max="1" width="16.7109375" style="2" customWidth="1"/>
    <col min="2" max="3" width="12.42578125" style="3" customWidth="1"/>
    <col min="4" max="7" width="14.5703125" style="2" customWidth="1"/>
    <col min="8" max="16384" width="9.140625" style="2"/>
  </cols>
  <sheetData>
    <row r="1" spans="1:7" ht="13.5" thickBot="1" x14ac:dyDescent="0.25">
      <c r="A1" s="3"/>
      <c r="B1" s="1" t="s">
        <v>127</v>
      </c>
      <c r="C1" s="16" t="s">
        <v>1</v>
      </c>
      <c r="D1" s="45" t="s">
        <v>169</v>
      </c>
      <c r="E1" s="45" t="s">
        <v>192</v>
      </c>
      <c r="F1" s="45" t="s">
        <v>204</v>
      </c>
      <c r="G1" s="45" t="s">
        <v>207</v>
      </c>
    </row>
    <row r="2" spans="1:7" ht="39" thickBot="1" x14ac:dyDescent="0.25">
      <c r="A2" s="47" t="s">
        <v>29</v>
      </c>
      <c r="B2" s="48" t="s">
        <v>30</v>
      </c>
      <c r="C2" s="49" t="s">
        <v>0</v>
      </c>
      <c r="D2" s="108">
        <f>Produzione!B4</f>
        <v>3626178</v>
      </c>
      <c r="E2" s="108">
        <f>Produzione!B5</f>
        <v>2802252</v>
      </c>
      <c r="F2" s="108">
        <f>Produzione!B6</f>
        <v>2583506</v>
      </c>
      <c r="G2" s="108">
        <f>Produzione!B7</f>
        <v>2863066</v>
      </c>
    </row>
    <row r="3" spans="1:7" ht="26.25" thickBot="1" x14ac:dyDescent="0.25">
      <c r="A3" s="29" t="str">
        <f>Produzione!C2</f>
        <v>Tintoria tops e stampa</v>
      </c>
      <c r="B3" s="30" t="s">
        <v>61</v>
      </c>
      <c r="C3" s="31" t="s">
        <v>0</v>
      </c>
      <c r="D3" s="13">
        <f>Produzione!C4</f>
        <v>3062326</v>
      </c>
      <c r="E3" s="13">
        <f>Produzione!C5</f>
        <v>2736021</v>
      </c>
      <c r="F3" s="13">
        <f>Produzione!C6</f>
        <v>2569265</v>
      </c>
      <c r="G3" s="13">
        <f>Produzione!C7</f>
        <v>2504693</v>
      </c>
    </row>
    <row r="4" spans="1:7" ht="22.5" customHeight="1" thickBot="1" x14ac:dyDescent="0.25">
      <c r="A4" s="29" t="str">
        <f>Produzione!D2</f>
        <v>Tintoria Rocche</v>
      </c>
      <c r="B4" s="30" t="s">
        <v>62</v>
      </c>
      <c r="C4" s="31" t="s">
        <v>0</v>
      </c>
      <c r="D4" s="13">
        <f>Produzione!D4</f>
        <v>1712108</v>
      </c>
      <c r="E4" s="13">
        <f>Produzione!D5</f>
        <v>1511733</v>
      </c>
      <c r="F4" s="13">
        <f>Produzione!D6</f>
        <v>1416465</v>
      </c>
      <c r="G4" s="13">
        <f>Produzione!D7</f>
        <v>1349406</v>
      </c>
    </row>
    <row r="5" spans="1:7" ht="22.5" customHeight="1" thickBot="1" x14ac:dyDescent="0.25">
      <c r="A5" s="29" t="str">
        <f>Produzione!E2</f>
        <v>Tintoria Matasse</v>
      </c>
      <c r="B5" s="342" t="s">
        <v>405</v>
      </c>
      <c r="C5" s="31" t="s">
        <v>0</v>
      </c>
      <c r="D5" s="13">
        <f>Produzione!E4</f>
        <v>574496</v>
      </c>
      <c r="E5" s="13">
        <f>Produzione!E5</f>
        <v>567620</v>
      </c>
      <c r="F5" s="13">
        <f>Produzione!E6</f>
        <v>487904</v>
      </c>
      <c r="G5" s="13">
        <f>Produzione!E7</f>
        <v>508445</v>
      </c>
    </row>
    <row r="6" spans="1:7" ht="26.25" thickBot="1" x14ac:dyDescent="0.25">
      <c r="A6" s="29" t="str">
        <f>Produzione!F2</f>
        <v>Tot .prodotto tinto</v>
      </c>
      <c r="B6" s="36" t="s">
        <v>22</v>
      </c>
      <c r="C6" s="31" t="s">
        <v>0</v>
      </c>
      <c r="D6" s="13">
        <f>Produzione!F4</f>
        <v>5348930</v>
      </c>
      <c r="E6" s="13">
        <f>Produzione!F5</f>
        <v>4815374</v>
      </c>
      <c r="F6" s="13">
        <f>Produzione!F6</f>
        <v>4473634</v>
      </c>
      <c r="G6" s="13">
        <f>Produzione!F7</f>
        <v>4362544</v>
      </c>
    </row>
    <row r="7" spans="1:7" ht="25.5" customHeight="1" x14ac:dyDescent="0.2">
      <c r="A7" s="373" t="s">
        <v>3</v>
      </c>
      <c r="B7" s="14" t="s">
        <v>2</v>
      </c>
      <c r="C7" s="17" t="s">
        <v>14</v>
      </c>
      <c r="D7" s="107">
        <f>'Approvvigionamento idrico'!C69</f>
        <v>633860</v>
      </c>
      <c r="E7" s="107">
        <f>'Approvvigionamento idrico'!D69</f>
        <v>583466</v>
      </c>
      <c r="F7" s="107">
        <f>'Approvvigionamento idrico'!E69</f>
        <v>636497</v>
      </c>
      <c r="G7" s="107">
        <f>'Approvvigionamento idrico'!F69</f>
        <v>683689</v>
      </c>
    </row>
    <row r="8" spans="1:7" ht="25.5" customHeight="1" x14ac:dyDescent="0.2">
      <c r="A8" s="374"/>
      <c r="B8" s="32" t="str">
        <f>'Approvvigionamento idrico'!A75</f>
        <v>Trattamento irrestringibile</v>
      </c>
      <c r="C8" s="33" t="s">
        <v>14</v>
      </c>
      <c r="D8" s="5">
        <f>'Approvvigionamento idrico'!C76</f>
        <v>126772</v>
      </c>
      <c r="E8" s="5">
        <f>'Approvvigionamento idrico'!D76</f>
        <v>116693.20000000001</v>
      </c>
      <c r="F8" s="5">
        <f>'Approvvigionamento idrico'!E76</f>
        <v>127299.40000000001</v>
      </c>
      <c r="G8" s="5">
        <f>'Approvvigionamento idrico'!F76</f>
        <v>109390.24</v>
      </c>
    </row>
    <row r="9" spans="1:7" ht="25.5" customHeight="1" x14ac:dyDescent="0.2">
      <c r="A9" s="374"/>
      <c r="B9" s="32" t="str">
        <f>'Approvvigionamento idrico'!A77</f>
        <v>Tintoria tops e stampa</v>
      </c>
      <c r="C9" s="33" t="s">
        <v>14</v>
      </c>
      <c r="D9" s="12">
        <f>'Approvvigionamento idrico'!C78</f>
        <v>190158</v>
      </c>
      <c r="E9" s="12">
        <f>'Approvvigionamento idrico'!D78</f>
        <v>175039.8</v>
      </c>
      <c r="F9" s="328">
        <f>'Approvvigionamento idrico'!E78</f>
        <v>190949.1</v>
      </c>
      <c r="G9" s="5">
        <f>'Approvvigionamento idrico'!F78</f>
        <v>273475.60000000003</v>
      </c>
    </row>
    <row r="10" spans="1:7" ht="25.5" customHeight="1" x14ac:dyDescent="0.2">
      <c r="A10" s="374"/>
      <c r="B10" s="32" t="str">
        <f>'Approvvigionamento idrico'!A79</f>
        <v>Tintoria rocche</v>
      </c>
      <c r="C10" s="33" t="s">
        <v>14</v>
      </c>
      <c r="D10" s="12">
        <f>'Approvvigionamento idrico'!C80</f>
        <v>221851</v>
      </c>
      <c r="E10" s="12">
        <f>'Approvvigionamento idrico'!D80</f>
        <v>204213.09999999998</v>
      </c>
      <c r="F10" s="328">
        <f>'Approvvigionamento idrico'!E80</f>
        <v>222773.94999999998</v>
      </c>
      <c r="G10" s="328">
        <f>'Approvvigionamento idrico'!F80</f>
        <v>136737.80000000002</v>
      </c>
    </row>
    <row r="11" spans="1:7" ht="25.5" customHeight="1" x14ac:dyDescent="0.2">
      <c r="A11" s="374"/>
      <c r="B11" s="32" t="str">
        <f>'Approvvigionamento idrico'!A81</f>
        <v>Tintoria matasse</v>
      </c>
      <c r="C11" s="33" t="s">
        <v>14</v>
      </c>
      <c r="D11" s="12">
        <f>'Approvvigionamento idrico'!C82</f>
        <v>95079</v>
      </c>
      <c r="E11" s="12">
        <f>'Approvvigionamento idrico'!D82</f>
        <v>87519.9</v>
      </c>
      <c r="F11" s="328">
        <f>'Approvvigionamento idrico'!E82</f>
        <v>95474.55</v>
      </c>
      <c r="G11" s="328">
        <f>'Approvvigionamento idrico'!F82</f>
        <v>164085.35999999999</v>
      </c>
    </row>
    <row r="12" spans="1:7" ht="38.25" x14ac:dyDescent="0.2">
      <c r="A12" s="375"/>
      <c r="B12" s="28" t="s">
        <v>102</v>
      </c>
      <c r="C12" s="34" t="s">
        <v>63</v>
      </c>
      <c r="D12" s="5">
        <f>D8*1000/D2</f>
        <v>34.96022533918633</v>
      </c>
      <c r="E12" s="5">
        <f>E8*1000/E2</f>
        <v>41.642650268426969</v>
      </c>
      <c r="F12" s="55">
        <f>F8*1000/F2</f>
        <v>49.273893693298959</v>
      </c>
      <c r="G12" s="55">
        <f>G8*1000/G2</f>
        <v>38.207376288216899</v>
      </c>
    </row>
    <row r="13" spans="1:7" ht="25.5" x14ac:dyDescent="0.2">
      <c r="A13" s="376"/>
      <c r="B13" s="28" t="s">
        <v>103</v>
      </c>
      <c r="C13" s="34" t="s">
        <v>63</v>
      </c>
      <c r="D13" s="5">
        <f t="shared" ref="D13:G14" si="0">D9*1000/D3</f>
        <v>62.09593622625416</v>
      </c>
      <c r="E13" s="55">
        <f t="shared" si="0"/>
        <v>63.976044043521597</v>
      </c>
      <c r="F13" s="55">
        <f t="shared" si="0"/>
        <v>74.320515789535136</v>
      </c>
      <c r="G13" s="55">
        <f t="shared" si="0"/>
        <v>109.18527739726987</v>
      </c>
    </row>
    <row r="14" spans="1:7" ht="25.5" x14ac:dyDescent="0.2">
      <c r="A14" s="376"/>
      <c r="B14" s="28" t="s">
        <v>104</v>
      </c>
      <c r="C14" s="34" t="s">
        <v>63</v>
      </c>
      <c r="D14" s="5">
        <f t="shared" si="0"/>
        <v>129.57769019244114</v>
      </c>
      <c r="E14" s="55">
        <f t="shared" si="0"/>
        <v>135.08542844536697</v>
      </c>
      <c r="F14" s="55">
        <f t="shared" si="0"/>
        <v>157.2745885002453</v>
      </c>
      <c r="G14" s="55">
        <f t="shared" si="0"/>
        <v>101.33184527117859</v>
      </c>
    </row>
    <row r="15" spans="1:7" ht="26.25" thickBot="1" x14ac:dyDescent="0.25">
      <c r="A15" s="376"/>
      <c r="B15" s="28" t="s">
        <v>105</v>
      </c>
      <c r="C15" s="34" t="s">
        <v>63</v>
      </c>
      <c r="D15" s="109">
        <f>D11*1000/D5</f>
        <v>165.49984682225812</v>
      </c>
      <c r="E15" s="144">
        <f>E11*1000/E5</f>
        <v>154.18748458475741</v>
      </c>
      <c r="F15" s="109">
        <f>F11*1000/F5</f>
        <v>195.6830647012527</v>
      </c>
      <c r="G15" s="109">
        <f>G11*1000/G5</f>
        <v>322.71997954547692</v>
      </c>
    </row>
    <row r="16" spans="1:7" ht="25.5" customHeight="1" x14ac:dyDescent="0.2">
      <c r="A16" s="378" t="s">
        <v>15</v>
      </c>
      <c r="B16" s="15" t="s">
        <v>2</v>
      </c>
      <c r="C16" s="18" t="s">
        <v>0</v>
      </c>
      <c r="D16" s="19">
        <f>Rifiuti!B48</f>
        <v>843696</v>
      </c>
      <c r="E16" s="19">
        <f>Rifiuti!B49</f>
        <v>628154</v>
      </c>
      <c r="F16" s="19">
        <f>Rifiuti!B50</f>
        <v>612310</v>
      </c>
      <c r="G16" s="19">
        <f>Rifiuti!B51</f>
        <v>613688</v>
      </c>
    </row>
    <row r="17" spans="1:7" ht="25.5" customHeight="1" thickBot="1" x14ac:dyDescent="0.25">
      <c r="A17" s="379"/>
      <c r="B17" s="37" t="s">
        <v>31</v>
      </c>
      <c r="C17" s="35" t="s">
        <v>32</v>
      </c>
      <c r="D17" s="110">
        <f>D16/D6</f>
        <v>0.15773173326254036</v>
      </c>
      <c r="E17" s="145">
        <f>E16/E6</f>
        <v>0.13044760386212992</v>
      </c>
      <c r="F17" s="145">
        <f>F16/F6</f>
        <v>0.13687083029143646</v>
      </c>
      <c r="G17" s="110">
        <f>G16/G6</f>
        <v>0.1406720482360751</v>
      </c>
    </row>
    <row r="18" spans="1:7" ht="25.5" customHeight="1" x14ac:dyDescent="0.2">
      <c r="A18" s="373" t="s">
        <v>380</v>
      </c>
      <c r="B18" s="15" t="s">
        <v>2</v>
      </c>
      <c r="C18" s="18" t="s">
        <v>16</v>
      </c>
      <c r="D18" s="19">
        <f>Rifiuti!C48</f>
        <v>281649</v>
      </c>
      <c r="E18" s="19">
        <f>Rifiuti!C49</f>
        <v>255079</v>
      </c>
      <c r="F18" s="19">
        <f>Rifiuti!C50</f>
        <v>341266</v>
      </c>
      <c r="G18" s="19">
        <f>Rifiuti!C51</f>
        <v>413890</v>
      </c>
    </row>
    <row r="19" spans="1:7" ht="40.5" customHeight="1" thickBot="1" x14ac:dyDescent="0.25">
      <c r="A19" s="377"/>
      <c r="B19" s="329" t="s">
        <v>381</v>
      </c>
      <c r="C19" s="35" t="s">
        <v>32</v>
      </c>
      <c r="D19" s="330">
        <f>D18/D16</f>
        <v>0.33382758718780225</v>
      </c>
      <c r="E19" s="330">
        <f t="shared" ref="E19:G19" si="1">E18/E16</f>
        <v>0.40607717215841976</v>
      </c>
      <c r="F19" s="330">
        <f t="shared" si="1"/>
        <v>0.55734186931456287</v>
      </c>
      <c r="G19" s="330">
        <f t="shared" si="1"/>
        <v>0.67443065531670821</v>
      </c>
    </row>
    <row r="20" spans="1:7" ht="25.5" customHeight="1" x14ac:dyDescent="0.2">
      <c r="A20" s="373" t="s">
        <v>12</v>
      </c>
      <c r="B20" s="15" t="s">
        <v>2</v>
      </c>
      <c r="C20" s="39" t="s">
        <v>17</v>
      </c>
      <c r="D20" s="19">
        <f>'Energia Elettrica - Dati'!I92</f>
        <v>8377339.7999999998</v>
      </c>
      <c r="E20" s="98">
        <f>'Energia Elettrica - Dati'!I93</f>
        <v>7894235</v>
      </c>
      <c r="F20" s="98">
        <f>'Energia Elettrica - Dati'!I94</f>
        <v>7720757</v>
      </c>
      <c r="G20" s="98">
        <f>'Energia Elettrica - Dati'!I95</f>
        <v>7877619</v>
      </c>
    </row>
    <row r="21" spans="1:7" ht="25.5" customHeight="1" x14ac:dyDescent="0.2">
      <c r="A21" s="374"/>
      <c r="B21" s="96" t="s">
        <v>157</v>
      </c>
      <c r="C21" s="97" t="s">
        <v>106</v>
      </c>
      <c r="D21" s="20">
        <f>D20/(D2+D6)</f>
        <v>0.93339710229670769</v>
      </c>
      <c r="E21" s="20">
        <f>E20/(E2+E6)</f>
        <v>1.0363117065605478</v>
      </c>
      <c r="F21" s="20">
        <f>F20/(F2+F6)</f>
        <v>1.0940348356416338</v>
      </c>
      <c r="G21" s="20">
        <f>G20/(G2+G6)</f>
        <v>1.0902358416798028</v>
      </c>
    </row>
    <row r="22" spans="1:7" ht="25.5" customHeight="1" x14ac:dyDescent="0.2">
      <c r="A22" s="374"/>
      <c r="B22" s="32" t="str">
        <f>'Energia Elettrica - Dati'!L90</f>
        <v>Trattamento irrestringibile</v>
      </c>
      <c r="C22" s="46" t="str">
        <f>'Energia Elettrica - Dati'!M91</f>
        <v>kWh</v>
      </c>
      <c r="D22" s="5">
        <f>'Energia Elettrica - Dati'!M92</f>
        <v>1675467.96</v>
      </c>
      <c r="E22" s="5">
        <f>'Energia Elettrica - Dati'!M93</f>
        <v>1578847</v>
      </c>
      <c r="F22" s="5">
        <f>'Energia Elettrica - Dati'!M94</f>
        <v>1544151.4000000001</v>
      </c>
      <c r="G22" s="5">
        <f>'Energia Elettrica - Dati'!M95</f>
        <v>1496747.61</v>
      </c>
    </row>
    <row r="23" spans="1:7" ht="25.5" customHeight="1" x14ac:dyDescent="0.2">
      <c r="A23" s="374"/>
      <c r="B23" s="32" t="str">
        <f>'Energia Elettrica - Dati'!N90</f>
        <v>Tintoria tops e stampa</v>
      </c>
      <c r="C23" s="38" t="s">
        <v>17</v>
      </c>
      <c r="D23" s="5">
        <f>'Energia Elettrica - Dati'!O92</f>
        <v>2513201.94</v>
      </c>
      <c r="E23" s="5">
        <f>'Energia Elettrica - Dati'!O93</f>
        <v>2368270.5</v>
      </c>
      <c r="F23" s="5">
        <f>'Energia Elettrica - Dati'!O94</f>
        <v>2316227.1</v>
      </c>
      <c r="G23" s="5">
        <f>'Energia Elettrica - Dati'!O95</f>
        <v>2835942.84</v>
      </c>
    </row>
    <row r="24" spans="1:7" ht="25.5" customHeight="1" x14ac:dyDescent="0.2">
      <c r="A24" s="374"/>
      <c r="B24" s="32" t="str">
        <f>'Energia Elettrica - Dati'!P90</f>
        <v>Tintoria rocche</v>
      </c>
      <c r="C24" s="38" t="s">
        <v>17</v>
      </c>
      <c r="D24" s="5">
        <f>'Energia Elettrica - Dati'!Q92</f>
        <v>2932068.9299999997</v>
      </c>
      <c r="E24" s="5">
        <f>'Energia Elettrica - Dati'!Q93</f>
        <v>2762982.25</v>
      </c>
      <c r="F24" s="5">
        <f>'Energia Elettrica - Dati'!Q94</f>
        <v>2702264.9499999997</v>
      </c>
      <c r="G24" s="5">
        <f>'Energia Elettrica - Dati'!Q95</f>
        <v>3072271.41</v>
      </c>
    </row>
    <row r="25" spans="1:7" ht="25.5" customHeight="1" x14ac:dyDescent="0.2">
      <c r="A25" s="374"/>
      <c r="B25" s="32" t="str">
        <f>'Energia Elettrica - Dati'!R90</f>
        <v>Tintoria matasse</v>
      </c>
      <c r="C25" s="38" t="s">
        <v>17</v>
      </c>
      <c r="D25" s="5">
        <f>'Energia Elettrica - Dati'!S92</f>
        <v>1256600.9700000002</v>
      </c>
      <c r="E25" s="5">
        <f>'Energia Elettrica - Dati'!S93</f>
        <v>1184135.2500000002</v>
      </c>
      <c r="F25" s="5">
        <f>'Energia Elettrica - Dati'!S94</f>
        <v>1158113.5500000003</v>
      </c>
      <c r="G25" s="5">
        <f>'Energia Elettrica - Dati'!S95</f>
        <v>472657.13999999996</v>
      </c>
    </row>
    <row r="26" spans="1:7" ht="38.25" x14ac:dyDescent="0.2">
      <c r="A26" s="375"/>
      <c r="B26" s="28" t="s">
        <v>102</v>
      </c>
      <c r="C26" s="34" t="s">
        <v>106</v>
      </c>
      <c r="D26" s="70">
        <f t="shared" ref="D26:G29" si="2">D22/D2</f>
        <v>0.46204790829352554</v>
      </c>
      <c r="E26" s="70">
        <f t="shared" si="2"/>
        <v>0.56342077728912321</v>
      </c>
      <c r="F26" s="70">
        <f t="shared" si="2"/>
        <v>0.59769607657191437</v>
      </c>
      <c r="G26" s="70">
        <f t="shared" si="2"/>
        <v>0.52277789265074581</v>
      </c>
    </row>
    <row r="27" spans="1:7" ht="25.5" x14ac:dyDescent="0.2">
      <c r="A27" s="376"/>
      <c r="B27" s="28" t="s">
        <v>103</v>
      </c>
      <c r="C27" s="34" t="s">
        <v>106</v>
      </c>
      <c r="D27" s="70">
        <f t="shared" si="2"/>
        <v>0.8206839964131839</v>
      </c>
      <c r="E27" s="70">
        <f t="shared" si="2"/>
        <v>0.86558929920494032</v>
      </c>
      <c r="F27" s="70">
        <f t="shared" si="2"/>
        <v>0.9015135067811223</v>
      </c>
      <c r="G27" s="70">
        <f t="shared" si="2"/>
        <v>1.1322516731591457</v>
      </c>
    </row>
    <row r="28" spans="1:7" ht="25.5" customHeight="1" x14ac:dyDescent="0.2">
      <c r="A28" s="376"/>
      <c r="B28" s="28" t="s">
        <v>104</v>
      </c>
      <c r="C28" s="34" t="s">
        <v>106</v>
      </c>
      <c r="D28" s="70">
        <f t="shared" si="2"/>
        <v>1.7125490506440013</v>
      </c>
      <c r="E28" s="70">
        <f t="shared" si="2"/>
        <v>1.8276919601543393</v>
      </c>
      <c r="F28" s="70">
        <f t="shared" si="2"/>
        <v>1.907752715386543</v>
      </c>
      <c r="G28" s="70">
        <f t="shared" si="2"/>
        <v>2.2767583736844212</v>
      </c>
    </row>
    <row r="29" spans="1:7" ht="26.25" thickBot="1" x14ac:dyDescent="0.25">
      <c r="A29" s="377"/>
      <c r="B29" s="28" t="s">
        <v>105</v>
      </c>
      <c r="C29" s="35" t="s">
        <v>106</v>
      </c>
      <c r="D29" s="71">
        <f t="shared" si="2"/>
        <v>2.1873102162591214</v>
      </c>
      <c r="E29" s="143">
        <f t="shared" si="2"/>
        <v>2.0861408160388999</v>
      </c>
      <c r="F29" s="143">
        <f t="shared" si="2"/>
        <v>2.3736504517282095</v>
      </c>
      <c r="G29" s="143">
        <f t="shared" si="2"/>
        <v>0.9296131144961598</v>
      </c>
    </row>
    <row r="30" spans="1:7" ht="12.75" customHeight="1" x14ac:dyDescent="0.2">
      <c r="A30" s="380" t="s">
        <v>190</v>
      </c>
      <c r="B30" s="15" t="s">
        <v>11</v>
      </c>
      <c r="C30" s="146" t="s">
        <v>191</v>
      </c>
      <c r="D30" s="98">
        <f>'Energia termica COGE'!H16</f>
        <v>40416650.560333341</v>
      </c>
      <c r="E30" s="98">
        <f>'Energia termica COGE'!H33</f>
        <v>37539243.015003338</v>
      </c>
      <c r="F30" s="98">
        <f>'Energia termica COGE'!H50</f>
        <v>36270410.315967999</v>
      </c>
      <c r="G30" s="98">
        <f>'Energia termica COGE'!H68</f>
        <v>35956511.377170004</v>
      </c>
    </row>
    <row r="31" spans="1:7" ht="25.5" x14ac:dyDescent="0.2">
      <c r="A31" s="380"/>
      <c r="B31" s="96" t="s">
        <v>20</v>
      </c>
      <c r="C31" s="106" t="s">
        <v>191</v>
      </c>
      <c r="D31" s="5">
        <f>'Energia termica COGE'!K16</f>
        <v>8083330.1120666685</v>
      </c>
      <c r="E31" s="5">
        <f>'Energia termica COGE'!K33</f>
        <v>7507848.6030006679</v>
      </c>
      <c r="F31" s="5">
        <f>'Energia termica COGE'!K50</f>
        <v>7254082.0631936006</v>
      </c>
      <c r="G31" s="5">
        <f>'Energia termica COGE'!K68</f>
        <v>7191302.2754340013</v>
      </c>
    </row>
    <row r="32" spans="1:7" ht="25.5" x14ac:dyDescent="0.2">
      <c r="A32" s="380"/>
      <c r="B32" s="28" t="s">
        <v>64</v>
      </c>
      <c r="C32" s="106" t="s">
        <v>191</v>
      </c>
      <c r="D32" s="5">
        <f>'Energia termica COGE'!M16</f>
        <v>12124995.168100001</v>
      </c>
      <c r="E32" s="5">
        <f>'Energia termica COGE'!M33</f>
        <v>11261772.904501</v>
      </c>
      <c r="F32" s="5">
        <f>'Energia termica COGE'!M50</f>
        <v>10881123.094790399</v>
      </c>
      <c r="G32" s="5">
        <f>'Energia termica COGE'!M68</f>
        <v>10786953.413151002</v>
      </c>
    </row>
    <row r="33" spans="1:7" ht="25.5" x14ac:dyDescent="0.2">
      <c r="A33" s="380"/>
      <c r="B33" s="28" t="s">
        <v>60</v>
      </c>
      <c r="C33" s="106" t="s">
        <v>191</v>
      </c>
      <c r="D33" s="5">
        <f>'Energia termica COGE'!O16</f>
        <v>14145827.696116669</v>
      </c>
      <c r="E33" s="5">
        <f>'Energia termica COGE'!O33</f>
        <v>13138735.055251168</v>
      </c>
      <c r="F33" s="5">
        <f>'Energia termica COGE'!O50</f>
        <v>12694643.610588798</v>
      </c>
      <c r="G33" s="5">
        <f>'Energia termica COGE'!O68</f>
        <v>12584778.9820095</v>
      </c>
    </row>
    <row r="34" spans="1:7" ht="25.5" x14ac:dyDescent="0.2">
      <c r="A34" s="380"/>
      <c r="B34" s="28" t="s">
        <v>79</v>
      </c>
      <c r="C34" s="106" t="s">
        <v>191</v>
      </c>
      <c r="D34" s="5">
        <f>'Energia termica COGE'!Q16</f>
        <v>6062497.5840500006</v>
      </c>
      <c r="E34" s="5">
        <f>'Energia termica COGE'!Q33</f>
        <v>5630886.4522505002</v>
      </c>
      <c r="F34" s="5">
        <f>'Energia termica COGE'!Q50</f>
        <v>5440561.5473951995</v>
      </c>
      <c r="G34" s="5">
        <f>'Energia termica COGE'!Q68</f>
        <v>5393476.7065755008</v>
      </c>
    </row>
    <row r="35" spans="1:7" ht="38.25" x14ac:dyDescent="0.2">
      <c r="A35" s="380"/>
      <c r="B35" s="28" t="s">
        <v>102</v>
      </c>
      <c r="C35" s="106" t="s">
        <v>106</v>
      </c>
      <c r="D35" s="70">
        <f t="shared" ref="D35:G38" si="3">D31/D2</f>
        <v>2.2291597687886995</v>
      </c>
      <c r="E35" s="70">
        <f t="shared" si="3"/>
        <v>2.6792196429873787</v>
      </c>
      <c r="F35" s="70">
        <f t="shared" si="3"/>
        <v>2.8078440937213229</v>
      </c>
      <c r="G35" s="70">
        <f t="shared" si="3"/>
        <v>2.5117486901922628</v>
      </c>
    </row>
    <row r="36" spans="1:7" ht="25.5" x14ac:dyDescent="0.2">
      <c r="A36" s="380"/>
      <c r="B36" s="28" t="s">
        <v>103</v>
      </c>
      <c r="C36" s="147" t="s">
        <v>106</v>
      </c>
      <c r="D36" s="70">
        <f t="shared" si="3"/>
        <v>3.9594070546702085</v>
      </c>
      <c r="E36" s="70">
        <f t="shared" si="3"/>
        <v>4.1161134744583467</v>
      </c>
      <c r="F36" s="70">
        <f t="shared" si="3"/>
        <v>4.235111245741642</v>
      </c>
      <c r="G36" s="70">
        <f t="shared" si="3"/>
        <v>4.3066968339636844</v>
      </c>
    </row>
    <row r="37" spans="1:7" ht="25.5" x14ac:dyDescent="0.2">
      <c r="A37" s="380"/>
      <c r="B37" s="28" t="s">
        <v>104</v>
      </c>
      <c r="C37" s="147" t="s">
        <v>106</v>
      </c>
      <c r="D37" s="70">
        <f t="shared" si="3"/>
        <v>8.2622286071419957</v>
      </c>
      <c r="E37" s="70">
        <f t="shared" si="3"/>
        <v>8.6911743378302706</v>
      </c>
      <c r="F37" s="70">
        <f t="shared" si="3"/>
        <v>8.9622006972207569</v>
      </c>
      <c r="G37" s="70">
        <f t="shared" si="3"/>
        <v>9.3261620164794738</v>
      </c>
    </row>
    <row r="38" spans="1:7" ht="26.25" thickBot="1" x14ac:dyDescent="0.25">
      <c r="A38" s="381"/>
      <c r="B38" s="37" t="s">
        <v>105</v>
      </c>
      <c r="C38" s="341" t="s">
        <v>106</v>
      </c>
      <c r="D38" s="71">
        <f t="shared" si="3"/>
        <v>10.552723750992175</v>
      </c>
      <c r="E38" s="71">
        <f t="shared" si="3"/>
        <v>9.9201692192849098</v>
      </c>
      <c r="F38" s="71">
        <f t="shared" si="3"/>
        <v>11.150885312264707</v>
      </c>
      <c r="G38" s="71">
        <f t="shared" si="3"/>
        <v>10.607787875926601</v>
      </c>
    </row>
    <row r="39" spans="1:7" x14ac:dyDescent="0.2">
      <c r="A39" s="331"/>
    </row>
  </sheetData>
  <mergeCells count="5">
    <mergeCell ref="A20:A29"/>
    <mergeCell ref="A7:A15"/>
    <mergeCell ref="A16:A17"/>
    <mergeCell ref="A18:A19"/>
    <mergeCell ref="A30:A38"/>
  </mergeCells>
  <phoneticPr fontId="0" type="noConversion"/>
  <pageMargins left="0.78740157480314965" right="0.78740157480314965" top="0.59055118110236227" bottom="0.59055118110236227" header="0.31496062992125984" footer="0.31496062992125984"/>
  <pageSetup paperSize="9" scale="70" orientation="portrait" r:id="rId1"/>
  <headerFooter alignWithMargins="0">
    <oddHeader>&amp;C&amp;F</oddHeader>
    <oddFooter>&amp;C&amp;A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zoomScale="130" zoomScaleNormal="130" workbookViewId="0">
      <selection activeCell="H5" sqref="H5"/>
    </sheetView>
  </sheetViews>
  <sheetFormatPr defaultColWidth="9.140625" defaultRowHeight="12.75" x14ac:dyDescent="0.2"/>
  <cols>
    <col min="1" max="1" width="11.7109375" style="3" customWidth="1"/>
    <col min="2" max="2" width="26.85546875" style="3" customWidth="1"/>
    <col min="3" max="3" width="23.28515625" style="3" customWidth="1"/>
    <col min="4" max="4" width="17.42578125" style="3" customWidth="1"/>
    <col min="5" max="5" width="18" style="3" customWidth="1"/>
    <col min="6" max="6" width="19.28515625" style="3" customWidth="1"/>
    <col min="7" max="16384" width="9.140625" style="2"/>
  </cols>
  <sheetData>
    <row r="1" spans="1:6" x14ac:dyDescent="0.2">
      <c r="A1" s="346" t="s">
        <v>49</v>
      </c>
      <c r="B1" s="346"/>
      <c r="C1" s="346"/>
      <c r="D1" s="346"/>
      <c r="E1" s="346"/>
      <c r="F1" s="346"/>
    </row>
    <row r="2" spans="1:6" x14ac:dyDescent="0.2">
      <c r="A2" s="1" t="s">
        <v>1</v>
      </c>
      <c r="B2" s="41" t="s">
        <v>20</v>
      </c>
      <c r="C2" s="41" t="s">
        <v>64</v>
      </c>
      <c r="D2" s="41" t="s">
        <v>48</v>
      </c>
      <c r="E2" s="42" t="s">
        <v>21</v>
      </c>
      <c r="F2" s="53" t="s">
        <v>22</v>
      </c>
    </row>
    <row r="3" spans="1:6" x14ac:dyDescent="0.2">
      <c r="A3" s="4"/>
      <c r="B3" s="4" t="s">
        <v>0</v>
      </c>
      <c r="C3" s="4" t="s">
        <v>0</v>
      </c>
      <c r="D3" s="4" t="s">
        <v>0</v>
      </c>
      <c r="E3" s="4" t="s">
        <v>0</v>
      </c>
      <c r="F3" s="51" t="s">
        <v>0</v>
      </c>
    </row>
    <row r="4" spans="1:6" x14ac:dyDescent="0.2">
      <c r="A4" s="59">
        <v>2022</v>
      </c>
      <c r="B4" s="60">
        <v>3626178</v>
      </c>
      <c r="C4" s="60">
        <v>3062326</v>
      </c>
      <c r="D4" s="60">
        <v>1712108</v>
      </c>
      <c r="E4" s="80">
        <v>574496</v>
      </c>
      <c r="F4" s="57">
        <f>SUM(C4:E4)</f>
        <v>5348930</v>
      </c>
    </row>
    <row r="5" spans="1:6" x14ac:dyDescent="0.2">
      <c r="A5" s="59">
        <v>2023</v>
      </c>
      <c r="B5" s="60">
        <v>2802252</v>
      </c>
      <c r="C5" s="60">
        <v>2736021</v>
      </c>
      <c r="D5" s="60">
        <v>1511733</v>
      </c>
      <c r="E5" s="60">
        <v>567620</v>
      </c>
      <c r="F5" s="57">
        <f>SUM(C5:E5)</f>
        <v>4815374</v>
      </c>
    </row>
    <row r="6" spans="1:6" x14ac:dyDescent="0.2">
      <c r="A6" s="59">
        <v>2024</v>
      </c>
      <c r="B6" s="60">
        <v>2583506</v>
      </c>
      <c r="C6" s="60">
        <v>2569265</v>
      </c>
      <c r="D6" s="60">
        <v>1416465</v>
      </c>
      <c r="E6" s="60">
        <v>487904</v>
      </c>
      <c r="F6" s="57">
        <f>SUM(C6:E6)</f>
        <v>4473634</v>
      </c>
    </row>
    <row r="7" spans="1:6" x14ac:dyDescent="0.2">
      <c r="A7" s="59">
        <v>2025</v>
      </c>
      <c r="B7" s="60">
        <v>2863066</v>
      </c>
      <c r="C7" s="60">
        <v>2504693</v>
      </c>
      <c r="D7" s="60">
        <v>1349406</v>
      </c>
      <c r="E7" s="60">
        <v>508445</v>
      </c>
      <c r="F7" s="57">
        <f>SUM(C7:E7)</f>
        <v>4362544</v>
      </c>
    </row>
    <row r="8" spans="1:6" x14ac:dyDescent="0.2">
      <c r="B8" s="152"/>
      <c r="C8" s="152"/>
      <c r="D8" s="152"/>
      <c r="E8" s="152"/>
      <c r="F8" s="98"/>
    </row>
    <row r="9" spans="1:6" x14ac:dyDescent="0.2">
      <c r="B9" s="152"/>
      <c r="C9" s="152"/>
      <c r="D9" s="152"/>
      <c r="E9" s="152"/>
      <c r="F9" s="98"/>
    </row>
  </sheetData>
  <mergeCells count="1">
    <mergeCell ref="A1:F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Header>&amp;C&amp;F</oddHeader>
    <oddFooter>&amp;C&amp;A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"/>
  <sheetViews>
    <sheetView zoomScaleNormal="100" workbookViewId="0">
      <selection activeCell="I12" sqref="I12"/>
    </sheetView>
  </sheetViews>
  <sheetFormatPr defaultColWidth="9.140625" defaultRowHeight="12.75" x14ac:dyDescent="0.2"/>
  <cols>
    <col min="1" max="1" width="22.140625" style="3" bestFit="1" customWidth="1"/>
    <col min="2" max="2" width="22.42578125" style="3" customWidth="1"/>
    <col min="3" max="4" width="10.7109375" style="2" customWidth="1"/>
    <col min="5" max="5" width="10.7109375" style="8" customWidth="1"/>
    <col min="6" max="9" width="10.7109375" style="2" customWidth="1"/>
    <col min="10" max="10" width="11.42578125" style="2" bestFit="1" customWidth="1"/>
    <col min="11" max="11" width="9.28515625" style="2" bestFit="1" customWidth="1"/>
    <col min="12" max="16" width="11.42578125" style="2" bestFit="1" customWidth="1"/>
    <col min="17" max="17" width="10.28515625" style="2" customWidth="1"/>
    <col min="18" max="18" width="10.140625" style="2" customWidth="1"/>
    <col min="19" max="19" width="9.5703125" style="2" bestFit="1" customWidth="1"/>
    <col min="20" max="16384" width="9.140625" style="2"/>
  </cols>
  <sheetData>
    <row r="1" spans="1:10" x14ac:dyDescent="0.2">
      <c r="A1" s="347" t="s">
        <v>57</v>
      </c>
      <c r="B1" s="348"/>
      <c r="C1" s="348"/>
      <c r="D1" s="348"/>
      <c r="E1" s="348"/>
      <c r="F1" s="348"/>
      <c r="G1" s="348"/>
      <c r="H1" s="348"/>
      <c r="I1" s="348"/>
      <c r="J1" s="349"/>
    </row>
    <row r="2" spans="1:10" x14ac:dyDescent="0.2">
      <c r="A2" s="44"/>
      <c r="B2" s="44"/>
      <c r="C2" s="44"/>
      <c r="D2" s="44"/>
      <c r="E2" s="44"/>
      <c r="F2" s="384"/>
      <c r="G2" s="382"/>
      <c r="H2" s="382"/>
      <c r="I2" s="382"/>
    </row>
    <row r="3" spans="1:10" x14ac:dyDescent="0.2">
      <c r="A3" s="43"/>
      <c r="B3" s="43"/>
      <c r="C3" s="160"/>
      <c r="D3" s="160"/>
      <c r="E3" s="160"/>
      <c r="F3" s="160"/>
      <c r="G3" s="383"/>
      <c r="H3" s="383"/>
      <c r="I3" s="383"/>
    </row>
    <row r="4" spans="1:10" x14ac:dyDescent="0.2">
      <c r="A4" s="54" t="s">
        <v>65</v>
      </c>
      <c r="B4" s="42" t="s">
        <v>66</v>
      </c>
      <c r="C4" s="87" t="s">
        <v>169</v>
      </c>
      <c r="D4" s="87" t="s">
        <v>192</v>
      </c>
      <c r="E4" s="151" t="s">
        <v>204</v>
      </c>
      <c r="F4" s="151" t="s">
        <v>207</v>
      </c>
    </row>
    <row r="5" spans="1:10" ht="18.75" customHeight="1" x14ac:dyDescent="0.2">
      <c r="A5" s="72" t="s">
        <v>51</v>
      </c>
      <c r="B5" s="28" t="s">
        <v>67</v>
      </c>
      <c r="C5" s="103">
        <v>118579</v>
      </c>
      <c r="D5" s="103">
        <v>110000</v>
      </c>
      <c r="E5" s="76">
        <v>97738</v>
      </c>
      <c r="F5" s="76">
        <v>95127.97</v>
      </c>
    </row>
    <row r="6" spans="1:10" ht="18.75" customHeight="1" x14ac:dyDescent="0.2">
      <c r="A6" s="72" t="s">
        <v>50</v>
      </c>
      <c r="B6" s="28" t="s">
        <v>68</v>
      </c>
      <c r="C6" s="102">
        <v>10300</v>
      </c>
      <c r="D6" s="102">
        <v>7000</v>
      </c>
      <c r="E6" s="77">
        <v>6259</v>
      </c>
      <c r="F6" s="77">
        <v>7254.3</v>
      </c>
    </row>
    <row r="7" spans="1:10" ht="18.75" customHeight="1" x14ac:dyDescent="0.2">
      <c r="A7" s="72" t="s">
        <v>52</v>
      </c>
      <c r="B7" s="28" t="s">
        <v>68</v>
      </c>
      <c r="C7" s="102">
        <v>394922</v>
      </c>
      <c r="D7" s="102">
        <v>327451</v>
      </c>
      <c r="E7" s="77">
        <v>658667</v>
      </c>
      <c r="F7" s="77">
        <v>354977</v>
      </c>
    </row>
    <row r="8" spans="1:10" ht="18.75" customHeight="1" x14ac:dyDescent="0.2">
      <c r="A8" s="72" t="s">
        <v>54</v>
      </c>
      <c r="B8" s="28" t="s">
        <v>68</v>
      </c>
      <c r="C8" s="102">
        <v>173769</v>
      </c>
      <c r="D8" s="102">
        <v>168017</v>
      </c>
      <c r="E8" s="77">
        <v>159780</v>
      </c>
      <c r="F8" s="77">
        <v>139076</v>
      </c>
    </row>
    <row r="9" spans="1:10" ht="18.75" customHeight="1" x14ac:dyDescent="0.2">
      <c r="A9" s="72" t="s">
        <v>53</v>
      </c>
      <c r="B9" s="28" t="s">
        <v>68</v>
      </c>
      <c r="C9" s="102">
        <v>73870</v>
      </c>
      <c r="D9" s="102">
        <v>71985</v>
      </c>
      <c r="E9" s="77">
        <v>68370</v>
      </c>
      <c r="F9" s="77">
        <v>62938</v>
      </c>
    </row>
    <row r="10" spans="1:10" ht="18.75" customHeight="1" x14ac:dyDescent="0.2">
      <c r="A10" s="72" t="s">
        <v>55</v>
      </c>
      <c r="B10" s="28" t="s">
        <v>68</v>
      </c>
      <c r="C10" s="102">
        <v>165250</v>
      </c>
      <c r="D10" s="102">
        <v>174400</v>
      </c>
      <c r="E10" s="77">
        <v>201160</v>
      </c>
      <c r="F10" s="77">
        <v>188020</v>
      </c>
    </row>
    <row r="11" spans="1:10" ht="18.75" customHeight="1" x14ac:dyDescent="0.2">
      <c r="A11" s="72" t="s">
        <v>82</v>
      </c>
      <c r="B11" s="28" t="s">
        <v>68</v>
      </c>
      <c r="C11" s="102">
        <v>0</v>
      </c>
      <c r="D11" s="102">
        <v>0</v>
      </c>
      <c r="E11" s="77">
        <v>0</v>
      </c>
      <c r="F11" s="77">
        <v>0</v>
      </c>
    </row>
    <row r="12" spans="1:10" ht="18.75" customHeight="1" x14ac:dyDescent="0.2">
      <c r="A12" s="72" t="s">
        <v>69</v>
      </c>
      <c r="B12" s="28" t="s">
        <v>68</v>
      </c>
      <c r="C12" s="102">
        <v>101377</v>
      </c>
      <c r="D12" s="102">
        <v>76420</v>
      </c>
      <c r="E12" s="77">
        <v>71560</v>
      </c>
      <c r="F12" s="77">
        <v>62380</v>
      </c>
    </row>
    <row r="13" spans="1:10" ht="18.75" customHeight="1" x14ac:dyDescent="0.2">
      <c r="A13" s="72" t="s">
        <v>56</v>
      </c>
      <c r="B13" s="28" t="s">
        <v>68</v>
      </c>
      <c r="C13" s="102">
        <v>50720</v>
      </c>
      <c r="D13" s="102">
        <v>115930</v>
      </c>
      <c r="E13" s="77">
        <v>309266</v>
      </c>
      <c r="F13" s="77">
        <v>274849</v>
      </c>
    </row>
    <row r="14" spans="1:10" ht="18.75" customHeight="1" x14ac:dyDescent="0.2">
      <c r="A14" s="72" t="s">
        <v>70</v>
      </c>
      <c r="B14" s="28" t="s">
        <v>71</v>
      </c>
      <c r="C14" s="102">
        <v>273000</v>
      </c>
      <c r="D14" s="102">
        <v>309000</v>
      </c>
      <c r="E14" s="77">
        <v>396541</v>
      </c>
      <c r="F14" s="77">
        <v>426200</v>
      </c>
    </row>
    <row r="15" spans="1:10" ht="18.75" customHeight="1" x14ac:dyDescent="0.2">
      <c r="A15" s="72" t="s">
        <v>72</v>
      </c>
      <c r="B15" s="28" t="s">
        <v>71</v>
      </c>
      <c r="C15" s="102">
        <v>16750</v>
      </c>
      <c r="D15" s="102">
        <v>13300</v>
      </c>
      <c r="E15" s="77">
        <v>13300</v>
      </c>
      <c r="F15" s="77">
        <v>27600</v>
      </c>
    </row>
    <row r="16" spans="1:10" ht="18.75" customHeight="1" x14ac:dyDescent="0.2">
      <c r="A16" s="72" t="s">
        <v>73</v>
      </c>
      <c r="B16" s="28" t="s">
        <v>68</v>
      </c>
      <c r="C16" s="102">
        <v>0</v>
      </c>
      <c r="D16" s="102">
        <v>0</v>
      </c>
      <c r="E16" s="77">
        <v>0</v>
      </c>
      <c r="F16" s="77">
        <v>0</v>
      </c>
    </row>
    <row r="17" spans="1:6" ht="18.75" customHeight="1" x14ac:dyDescent="0.2">
      <c r="A17" s="105" t="s">
        <v>168</v>
      </c>
      <c r="B17" s="106" t="s">
        <v>71</v>
      </c>
      <c r="C17" s="102">
        <v>23280</v>
      </c>
      <c r="D17" s="102">
        <v>20450</v>
      </c>
      <c r="E17" s="77">
        <v>14250</v>
      </c>
      <c r="F17" s="77">
        <v>14900</v>
      </c>
    </row>
    <row r="18" spans="1:6" ht="25.5" x14ac:dyDescent="0.2">
      <c r="A18" s="72" t="s">
        <v>80</v>
      </c>
      <c r="B18" s="28" t="s">
        <v>68</v>
      </c>
      <c r="C18" s="102">
        <v>516500</v>
      </c>
      <c r="D18" s="102">
        <v>433600</v>
      </c>
      <c r="E18" s="77">
        <v>98384</v>
      </c>
      <c r="F18" s="77">
        <v>331165</v>
      </c>
    </row>
    <row r="19" spans="1:6" ht="18.75" customHeight="1" x14ac:dyDescent="0.2">
      <c r="A19" s="72" t="s">
        <v>81</v>
      </c>
      <c r="B19" s="28" t="s">
        <v>68</v>
      </c>
      <c r="C19" s="102">
        <v>73000</v>
      </c>
      <c r="D19" s="102">
        <v>65000</v>
      </c>
      <c r="E19" s="77">
        <v>51000</v>
      </c>
      <c r="F19" s="77">
        <v>46000</v>
      </c>
    </row>
    <row r="20" spans="1:6" ht="18.75" customHeight="1" x14ac:dyDescent="0.2">
      <c r="A20" s="72" t="s">
        <v>74</v>
      </c>
      <c r="B20" s="28" t="s">
        <v>71</v>
      </c>
      <c r="C20" s="102">
        <v>102000</v>
      </c>
      <c r="D20" s="102">
        <v>99700</v>
      </c>
      <c r="E20" s="77">
        <v>87200</v>
      </c>
      <c r="F20" s="77">
        <v>81200</v>
      </c>
    </row>
    <row r="21" spans="1:6" ht="18.75" customHeight="1" x14ac:dyDescent="0.2">
      <c r="A21" s="72" t="s">
        <v>75</v>
      </c>
      <c r="B21" s="28" t="s">
        <v>68</v>
      </c>
      <c r="C21" s="102">
        <v>13000</v>
      </c>
      <c r="D21" s="102">
        <v>8000</v>
      </c>
      <c r="E21" s="77">
        <v>8800</v>
      </c>
      <c r="F21" s="77">
        <v>9200</v>
      </c>
    </row>
    <row r="22" spans="1:6" x14ac:dyDescent="0.2">
      <c r="A22" s="72" t="s">
        <v>76</v>
      </c>
      <c r="B22" s="28" t="s">
        <v>68</v>
      </c>
      <c r="C22" s="102" t="s">
        <v>152</v>
      </c>
      <c r="D22" s="102">
        <v>0</v>
      </c>
      <c r="E22" s="77">
        <v>0</v>
      </c>
      <c r="F22" s="77">
        <v>0</v>
      </c>
    </row>
    <row r="23" spans="1:6" x14ac:dyDescent="0.2">
      <c r="A23" s="72" t="s">
        <v>83</v>
      </c>
      <c r="B23" s="28" t="s">
        <v>68</v>
      </c>
      <c r="C23" s="102" t="s">
        <v>152</v>
      </c>
      <c r="D23" s="102">
        <v>0</v>
      </c>
      <c r="E23" s="77">
        <v>0</v>
      </c>
      <c r="F23" s="77">
        <v>0</v>
      </c>
    </row>
    <row r="24" spans="1:6" ht="18.75" customHeight="1" x14ac:dyDescent="0.2">
      <c r="A24" s="78" t="s">
        <v>77</v>
      </c>
      <c r="B24" s="79" t="s">
        <v>68</v>
      </c>
      <c r="C24" s="102">
        <v>0</v>
      </c>
      <c r="D24" s="102">
        <v>0</v>
      </c>
      <c r="E24" s="77">
        <v>0</v>
      </c>
      <c r="F24" s="77">
        <v>0</v>
      </c>
    </row>
    <row r="25" spans="1:6" x14ac:dyDescent="0.2">
      <c r="A25" s="99" t="s">
        <v>158</v>
      </c>
      <c r="B25" s="100" t="s">
        <v>159</v>
      </c>
      <c r="C25" s="104">
        <v>44500</v>
      </c>
      <c r="D25" s="104">
        <v>41575</v>
      </c>
      <c r="E25" s="80">
        <v>36575</v>
      </c>
      <c r="F25" s="80">
        <v>37900</v>
      </c>
    </row>
    <row r="26" spans="1:6" x14ac:dyDescent="0.2">
      <c r="A26" s="111" t="s">
        <v>11</v>
      </c>
      <c r="B26" s="95"/>
      <c r="C26" s="104">
        <f>SUBTOTAL(109,Tabella3[2022])</f>
        <v>2150817</v>
      </c>
      <c r="D26" s="104">
        <f>SUBTOTAL(109,Tabella3[2023])</f>
        <v>2041828</v>
      </c>
      <c r="E26" s="104">
        <f>SUBTOTAL(109,Tabella3[2024])</f>
        <v>2278850</v>
      </c>
      <c r="F26" s="104">
        <f>SUBTOTAL(109,Tabella3[2025])</f>
        <v>2158787.27</v>
      </c>
    </row>
    <row r="27" spans="1:6" x14ac:dyDescent="0.2">
      <c r="A27" s="2"/>
      <c r="B27" s="2"/>
    </row>
  </sheetData>
  <mergeCells count="1">
    <mergeCell ref="A1:J1"/>
  </mergeCells>
  <phoneticPr fontId="0" type="noConversion"/>
  <pageMargins left="0.75" right="0.75" top="1" bottom="1" header="0.5" footer="0.5"/>
  <pageSetup paperSize="9" scale="89" orientation="landscape" r:id="rId1"/>
  <headerFooter alignWithMargins="0">
    <oddHeader>&amp;C&amp;F</oddHeader>
    <oddFooter>&amp;C&amp;A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4"/>
  <sheetViews>
    <sheetView topLeftCell="A82" zoomScaleNormal="100" zoomScaleSheetLayoutView="55" workbookViewId="0">
      <selection activeCell="H70" sqref="H70"/>
    </sheetView>
  </sheetViews>
  <sheetFormatPr defaultColWidth="9.140625" defaultRowHeight="12.75" x14ac:dyDescent="0.2"/>
  <cols>
    <col min="1" max="1" width="17.85546875" style="1" customWidth="1"/>
    <col min="2" max="2" width="11.7109375" style="1" customWidth="1"/>
    <col min="3" max="8" width="11.7109375" style="2" customWidth="1"/>
    <col min="9" max="9" width="11.7109375" style="8" customWidth="1"/>
    <col min="10" max="14" width="9.140625" style="2"/>
    <col min="15" max="15" width="9.5703125" style="2" bestFit="1" customWidth="1"/>
    <col min="16" max="16384" width="9.140625" style="2"/>
  </cols>
  <sheetData>
    <row r="1" spans="1:14" x14ac:dyDescent="0.2">
      <c r="A1" s="348" t="s">
        <v>230</v>
      </c>
      <c r="B1" s="348"/>
      <c r="C1" s="348"/>
      <c r="D1" s="348"/>
      <c r="E1" s="348"/>
      <c r="F1" s="348"/>
      <c r="G1" s="348"/>
      <c r="H1" s="348"/>
      <c r="I1" s="348"/>
      <c r="J1" s="6"/>
      <c r="K1" s="6"/>
      <c r="L1" s="6"/>
      <c r="M1" s="6"/>
      <c r="N1" s="6"/>
    </row>
    <row r="2" spans="1:14" x14ac:dyDescent="0.2">
      <c r="A2" s="27"/>
    </row>
    <row r="3" spans="1:14" ht="15" x14ac:dyDescent="0.25">
      <c r="A3" s="161" t="s">
        <v>217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4" ht="17.25" x14ac:dyDescent="0.25">
      <c r="A4" s="10" t="s">
        <v>218</v>
      </c>
      <c r="B4" s="162" t="s">
        <v>169</v>
      </c>
      <c r="C4" s="162" t="s">
        <v>192</v>
      </c>
      <c r="D4" s="162" t="s">
        <v>204</v>
      </c>
      <c r="E4" s="162" t="s">
        <v>207</v>
      </c>
      <c r="I4" s="2"/>
    </row>
    <row r="5" spans="1:14" x14ac:dyDescent="0.2">
      <c r="A5" s="162" t="s">
        <v>219</v>
      </c>
      <c r="B5" s="153">
        <v>18920</v>
      </c>
      <c r="C5" s="153">
        <v>9710</v>
      </c>
      <c r="D5" s="153">
        <v>1200</v>
      </c>
      <c r="E5" s="153">
        <v>23465</v>
      </c>
      <c r="I5" s="2"/>
    </row>
    <row r="6" spans="1:14" x14ac:dyDescent="0.2">
      <c r="A6" s="162" t="s">
        <v>220</v>
      </c>
      <c r="B6" s="153">
        <v>18876</v>
      </c>
      <c r="C6" s="153">
        <v>12703</v>
      </c>
      <c r="D6" s="153">
        <v>13105</v>
      </c>
      <c r="E6" s="153">
        <v>24368</v>
      </c>
      <c r="I6" s="2"/>
    </row>
    <row r="7" spans="1:14" x14ac:dyDescent="0.2">
      <c r="A7" s="162" t="s">
        <v>221</v>
      </c>
      <c r="B7" s="153">
        <v>12031</v>
      </c>
      <c r="C7" s="153">
        <v>14115</v>
      </c>
      <c r="D7" s="153">
        <v>13744</v>
      </c>
      <c r="E7" s="153">
        <v>28229</v>
      </c>
      <c r="I7" s="2"/>
    </row>
    <row r="8" spans="1:14" x14ac:dyDescent="0.2">
      <c r="A8" s="162" t="s">
        <v>222</v>
      </c>
      <c r="B8" s="153">
        <v>11980</v>
      </c>
      <c r="C8" s="153">
        <v>11450</v>
      </c>
      <c r="D8" s="153">
        <f>47950-28049</f>
        <v>19901</v>
      </c>
      <c r="E8" s="153">
        <v>25448</v>
      </c>
      <c r="I8" s="2"/>
    </row>
    <row r="9" spans="1:14" x14ac:dyDescent="0.2">
      <c r="A9" s="162" t="s">
        <v>223</v>
      </c>
      <c r="B9" s="153">
        <v>12050</v>
      </c>
      <c r="C9" s="153">
        <v>14743</v>
      </c>
      <c r="D9" s="153">
        <f>73631-47950</f>
        <v>25681</v>
      </c>
      <c r="E9" s="153">
        <v>25470</v>
      </c>
      <c r="I9" s="2"/>
    </row>
    <row r="10" spans="1:14" x14ac:dyDescent="0.2">
      <c r="A10" s="162" t="s">
        <v>224</v>
      </c>
      <c r="B10" s="153">
        <v>12063</v>
      </c>
      <c r="C10" s="153">
        <f>212218-198543</f>
        <v>13675</v>
      </c>
      <c r="D10" s="153">
        <f>101222-73631</f>
        <v>27591</v>
      </c>
      <c r="E10" s="153">
        <v>24279</v>
      </c>
      <c r="I10" s="2"/>
    </row>
    <row r="11" spans="1:14" x14ac:dyDescent="0.2">
      <c r="A11" s="162" t="s">
        <v>225</v>
      </c>
      <c r="B11" s="153">
        <v>13355</v>
      </c>
      <c r="C11" s="153">
        <v>13163</v>
      </c>
      <c r="D11" s="153">
        <f>134743-101222</f>
        <v>33521</v>
      </c>
      <c r="E11" s="153">
        <v>26899</v>
      </c>
      <c r="I11" s="2"/>
    </row>
    <row r="12" spans="1:14" x14ac:dyDescent="0.2">
      <c r="A12" s="162" t="s">
        <v>226</v>
      </c>
      <c r="B12" s="153">
        <v>3766</v>
      </c>
      <c r="C12" s="153">
        <v>1462</v>
      </c>
      <c r="D12" s="153">
        <f>136977-134743</f>
        <v>2234</v>
      </c>
      <c r="E12" s="153">
        <v>2401</v>
      </c>
      <c r="I12" s="2"/>
    </row>
    <row r="13" spans="1:14" x14ac:dyDescent="0.2">
      <c r="A13" s="162" t="s">
        <v>185</v>
      </c>
      <c r="B13" s="153">
        <v>14119</v>
      </c>
      <c r="C13" s="153">
        <v>10850</v>
      </c>
      <c r="D13" s="153">
        <f>169190-136977</f>
        <v>32213</v>
      </c>
      <c r="E13" s="153">
        <v>26375</v>
      </c>
      <c r="I13" s="2"/>
    </row>
    <row r="14" spans="1:14" x14ac:dyDescent="0.2">
      <c r="A14" s="162" t="s">
        <v>186</v>
      </c>
      <c r="B14" s="153">
        <v>11970</v>
      </c>
      <c r="C14" s="153">
        <v>6653</v>
      </c>
      <c r="D14" s="153">
        <f>198003-169190</f>
        <v>28813</v>
      </c>
      <c r="E14" s="153">
        <v>26463</v>
      </c>
      <c r="I14" s="2"/>
    </row>
    <row r="15" spans="1:14" x14ac:dyDescent="0.2">
      <c r="A15" s="162" t="s">
        <v>187</v>
      </c>
      <c r="B15" s="153">
        <v>14140</v>
      </c>
      <c r="C15" s="153">
        <v>8065</v>
      </c>
      <c r="D15" s="153">
        <v>25420</v>
      </c>
      <c r="E15" s="153">
        <v>23994</v>
      </c>
      <c r="I15" s="2"/>
    </row>
    <row r="16" spans="1:14" x14ac:dyDescent="0.2">
      <c r="A16" s="162" t="s">
        <v>188</v>
      </c>
      <c r="B16" s="153">
        <v>8982</v>
      </c>
      <c r="C16" s="153">
        <v>7901</v>
      </c>
      <c r="D16" s="153">
        <v>16244</v>
      </c>
      <c r="E16" s="153">
        <v>17439</v>
      </c>
      <c r="I16" s="2"/>
    </row>
    <row r="17" spans="1:11" x14ac:dyDescent="0.2">
      <c r="A17" s="162" t="s">
        <v>2</v>
      </c>
      <c r="B17" s="153">
        <f>SUBTOTAL(109,Tab_Pozzo3[2022])</f>
        <v>152252</v>
      </c>
      <c r="C17" s="153">
        <f>SUBTOTAL(109,Tab_Pozzo3[2023])</f>
        <v>124490</v>
      </c>
      <c r="D17" s="153">
        <f>SUBTOTAL(109,Tab_Pozzo3[2024])</f>
        <v>239667</v>
      </c>
      <c r="E17" s="153">
        <f>SUBTOTAL(109,Tab_Pozzo3[2025])</f>
        <v>274830</v>
      </c>
      <c r="I17" s="2"/>
    </row>
    <row r="18" spans="1:11" x14ac:dyDescent="0.2">
      <c r="A18" s="27"/>
    </row>
    <row r="19" spans="1:11" ht="15" x14ac:dyDescent="0.25">
      <c r="A19" s="161" t="s">
        <v>227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</row>
    <row r="20" spans="1:11" ht="17.25" x14ac:dyDescent="0.25">
      <c r="A20" s="10" t="s">
        <v>218</v>
      </c>
      <c r="B20" s="162" t="s">
        <v>169</v>
      </c>
      <c r="C20" s="162" t="s">
        <v>192</v>
      </c>
      <c r="D20" s="162" t="s">
        <v>204</v>
      </c>
      <c r="E20" s="162" t="s">
        <v>207</v>
      </c>
      <c r="I20" s="2"/>
    </row>
    <row r="21" spans="1:11" x14ac:dyDescent="0.2">
      <c r="A21" s="162" t="s">
        <v>219</v>
      </c>
      <c r="B21" s="153">
        <v>26040</v>
      </c>
      <c r="C21" s="153">
        <v>25453</v>
      </c>
      <c r="D21" s="153">
        <v>25720</v>
      </c>
      <c r="E21" s="153">
        <v>27906</v>
      </c>
      <c r="I21" s="2"/>
    </row>
    <row r="22" spans="1:11" x14ac:dyDescent="0.2">
      <c r="A22" s="162" t="s">
        <v>220</v>
      </c>
      <c r="B22" s="153">
        <v>31540</v>
      </c>
      <c r="C22" s="153">
        <v>29522</v>
      </c>
      <c r="D22" s="153">
        <v>26595</v>
      </c>
      <c r="E22" s="153">
        <v>29006</v>
      </c>
      <c r="I22" s="2"/>
    </row>
    <row r="23" spans="1:11" x14ac:dyDescent="0.2">
      <c r="A23" s="162" t="s">
        <v>221</v>
      </c>
      <c r="B23" s="153">
        <v>25665</v>
      </c>
      <c r="C23" s="153">
        <v>32484</v>
      </c>
      <c r="D23" s="153">
        <v>25728</v>
      </c>
      <c r="E23" s="153">
        <v>32190</v>
      </c>
      <c r="I23" s="2"/>
    </row>
    <row r="24" spans="1:11" x14ac:dyDescent="0.2">
      <c r="A24" s="162" t="s">
        <v>222</v>
      </c>
      <c r="B24" s="153">
        <v>26050</v>
      </c>
      <c r="C24" s="153">
        <v>25330</v>
      </c>
      <c r="D24" s="153">
        <f>76018-52323</f>
        <v>23695</v>
      </c>
      <c r="E24" s="153">
        <v>29630</v>
      </c>
      <c r="I24" s="2"/>
    </row>
    <row r="25" spans="1:11" x14ac:dyDescent="0.2">
      <c r="A25" s="162" t="s">
        <v>223</v>
      </c>
      <c r="B25" s="153">
        <v>25320</v>
      </c>
      <c r="C25" s="153">
        <v>31642</v>
      </c>
      <c r="D25" s="153">
        <f>105771-76018</f>
        <v>29753</v>
      </c>
      <c r="E25" s="153">
        <v>30080</v>
      </c>
      <c r="I25" s="2"/>
    </row>
    <row r="26" spans="1:11" x14ac:dyDescent="0.2">
      <c r="A26" s="162" t="s">
        <v>224</v>
      </c>
      <c r="B26" s="153">
        <v>25625</v>
      </c>
      <c r="C26" s="153">
        <f>461270-432622</f>
        <v>28648</v>
      </c>
      <c r="D26" s="153">
        <f>132481-105771</f>
        <v>26710</v>
      </c>
      <c r="E26" s="153">
        <v>28023</v>
      </c>
      <c r="I26" s="2"/>
    </row>
    <row r="27" spans="1:11" x14ac:dyDescent="0.2">
      <c r="A27" s="162" t="s">
        <v>225</v>
      </c>
      <c r="B27" s="153">
        <v>29034</v>
      </c>
      <c r="C27" s="153">
        <v>24599</v>
      </c>
      <c r="D27" s="153">
        <f>162407-132481</f>
        <v>29926</v>
      </c>
      <c r="E27" s="153">
        <v>14940</v>
      </c>
      <c r="I27" s="2"/>
    </row>
    <row r="28" spans="1:11" x14ac:dyDescent="0.2">
      <c r="A28" s="162" t="s">
        <v>226</v>
      </c>
      <c r="B28" s="153">
        <v>7051</v>
      </c>
      <c r="C28" s="153">
        <v>11932</v>
      </c>
      <c r="D28" s="153">
        <f>164590-162407</f>
        <v>2183</v>
      </c>
      <c r="E28" s="153">
        <v>3378</v>
      </c>
      <c r="I28" s="2"/>
    </row>
    <row r="29" spans="1:11" x14ac:dyDescent="0.2">
      <c r="A29" s="162" t="s">
        <v>185</v>
      </c>
      <c r="B29" s="153">
        <v>29987</v>
      </c>
      <c r="C29" s="153">
        <v>27028</v>
      </c>
      <c r="D29" s="153">
        <f>192968-164590</f>
        <v>28378</v>
      </c>
      <c r="E29" s="153">
        <v>35706</v>
      </c>
      <c r="I29" s="2"/>
    </row>
    <row r="30" spans="1:11" x14ac:dyDescent="0.2">
      <c r="A30" s="162" t="s">
        <v>186</v>
      </c>
      <c r="B30" s="153">
        <v>26343</v>
      </c>
      <c r="C30" s="153">
        <v>23721</v>
      </c>
      <c r="D30" s="153">
        <f>222500-192968</f>
        <v>29532</v>
      </c>
      <c r="E30" s="153">
        <v>36059</v>
      </c>
      <c r="I30" s="2"/>
    </row>
    <row r="31" spans="1:11" x14ac:dyDescent="0.2">
      <c r="A31" s="162" t="s">
        <v>187</v>
      </c>
      <c r="B31" s="153">
        <v>30495</v>
      </c>
      <c r="C31" s="153">
        <v>21746</v>
      </c>
      <c r="D31" s="153">
        <v>27780</v>
      </c>
      <c r="E31" s="153">
        <v>33357</v>
      </c>
      <c r="I31" s="2"/>
    </row>
    <row r="32" spans="1:11" x14ac:dyDescent="0.2">
      <c r="A32" s="162" t="s">
        <v>188</v>
      </c>
      <c r="B32" s="153">
        <v>25681</v>
      </c>
      <c r="C32" s="153">
        <v>19964</v>
      </c>
      <c r="D32" s="153">
        <v>19761</v>
      </c>
      <c r="E32" s="153">
        <v>22348</v>
      </c>
      <c r="I32" s="2"/>
    </row>
    <row r="33" spans="1:11" ht="12.75" customHeight="1" x14ac:dyDescent="0.2">
      <c r="A33" s="162" t="s">
        <v>2</v>
      </c>
      <c r="B33" s="153">
        <f>SUBTOTAL(109,Tab_Pozzo4[2022])</f>
        <v>308831</v>
      </c>
      <c r="C33" s="153">
        <f>SUBTOTAL(109,Tab_Pozzo4[2023])</f>
        <v>302069</v>
      </c>
      <c r="D33" s="153">
        <f>SUBTOTAL(109,Tab_Pozzo4[2024])</f>
        <v>295761</v>
      </c>
      <c r="E33" s="153">
        <f>SUBTOTAL(109,Tab_Pozzo4[2025])</f>
        <v>322623</v>
      </c>
      <c r="I33" s="2"/>
    </row>
    <row r="34" spans="1:11" ht="12.75" customHeight="1" x14ac:dyDescent="0.2">
      <c r="A34" s="162"/>
      <c r="B34" s="153"/>
      <c r="C34" s="153"/>
      <c r="D34" s="153"/>
      <c r="E34" s="153"/>
      <c r="F34" s="153"/>
      <c r="G34" s="153"/>
      <c r="H34" s="153"/>
      <c r="I34" s="153"/>
      <c r="J34" s="153"/>
      <c r="K34" s="153"/>
    </row>
    <row r="35" spans="1:11" ht="12.75" customHeight="1" x14ac:dyDescent="0.25">
      <c r="A35" s="161" t="s">
        <v>228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</row>
    <row r="36" spans="1:11" ht="12.75" customHeight="1" x14ac:dyDescent="0.25">
      <c r="A36" s="10" t="s">
        <v>218</v>
      </c>
      <c r="B36" s="162" t="s">
        <v>169</v>
      </c>
      <c r="C36" s="162" t="s">
        <v>192</v>
      </c>
      <c r="D36" s="162" t="s">
        <v>204</v>
      </c>
      <c r="E36" s="162" t="s">
        <v>207</v>
      </c>
      <c r="I36" s="2"/>
    </row>
    <row r="37" spans="1:11" ht="12.75" customHeight="1" x14ac:dyDescent="0.2">
      <c r="A37" s="162" t="s">
        <v>219</v>
      </c>
      <c r="B37" s="153">
        <v>17020</v>
      </c>
      <c r="C37" s="153">
        <v>13805</v>
      </c>
      <c r="D37" s="153">
        <v>11274</v>
      </c>
      <c r="E37" s="153">
        <v>3743</v>
      </c>
      <c r="I37" s="2"/>
    </row>
    <row r="38" spans="1:11" ht="12.75" customHeight="1" x14ac:dyDescent="0.2">
      <c r="A38" s="162" t="s">
        <v>220</v>
      </c>
      <c r="B38" s="153">
        <v>16880</v>
      </c>
      <c r="C38" s="153">
        <v>17369</v>
      </c>
      <c r="D38" s="153">
        <v>15492</v>
      </c>
      <c r="E38" s="153">
        <v>17162</v>
      </c>
      <c r="I38" s="2"/>
    </row>
    <row r="39" spans="1:11" ht="12.75" customHeight="1" x14ac:dyDescent="0.2">
      <c r="A39" s="162" t="s">
        <v>221</v>
      </c>
      <c r="B39" s="153">
        <v>17380</v>
      </c>
      <c r="C39" s="153">
        <v>17959</v>
      </c>
      <c r="D39" s="153">
        <v>15410</v>
      </c>
      <c r="E39" s="153">
        <v>19693</v>
      </c>
      <c r="I39" s="2"/>
    </row>
    <row r="40" spans="1:11" ht="12.75" customHeight="1" x14ac:dyDescent="0.2">
      <c r="A40" s="162" t="s">
        <v>222</v>
      </c>
      <c r="B40" s="153">
        <v>17450</v>
      </c>
      <c r="C40" s="153">
        <v>11810</v>
      </c>
      <c r="D40" s="153">
        <f>367007-358270</f>
        <v>8737</v>
      </c>
      <c r="E40" s="153">
        <v>14844</v>
      </c>
      <c r="I40" s="2"/>
    </row>
    <row r="41" spans="1:11" ht="12.75" customHeight="1" x14ac:dyDescent="0.2">
      <c r="A41" s="162" t="s">
        <v>223</v>
      </c>
      <c r="B41" s="153">
        <v>17110</v>
      </c>
      <c r="C41" s="153">
        <v>15627</v>
      </c>
      <c r="D41" s="153">
        <f>386280-367007</f>
        <v>19273</v>
      </c>
      <c r="E41" s="153">
        <v>9503</v>
      </c>
      <c r="I41" s="2"/>
    </row>
    <row r="42" spans="1:11" ht="12.75" customHeight="1" x14ac:dyDescent="0.2">
      <c r="A42" s="162" t="s">
        <v>224</v>
      </c>
      <c r="B42" s="153">
        <v>17580</v>
      </c>
      <c r="C42" s="153">
        <f>250864-235757</f>
        <v>15107</v>
      </c>
      <c r="D42" s="153">
        <f>399603-386280</f>
        <v>13323</v>
      </c>
      <c r="E42" s="153">
        <v>1715</v>
      </c>
      <c r="I42" s="2"/>
    </row>
    <row r="43" spans="1:11" ht="12.75" customHeight="1" x14ac:dyDescent="0.2">
      <c r="A43" s="162" t="s">
        <v>225</v>
      </c>
      <c r="B43" s="153">
        <v>13637</v>
      </c>
      <c r="C43" s="153">
        <v>13189</v>
      </c>
      <c r="D43" s="153">
        <f>401538-399603</f>
        <v>1935</v>
      </c>
      <c r="E43" s="153">
        <v>16790</v>
      </c>
      <c r="I43" s="2"/>
    </row>
    <row r="44" spans="1:11" ht="12.75" customHeight="1" x14ac:dyDescent="0.2">
      <c r="A44" s="162" t="s">
        <v>226</v>
      </c>
      <c r="B44" s="153">
        <v>2051</v>
      </c>
      <c r="C44" s="153">
        <v>2806</v>
      </c>
      <c r="D44" s="153">
        <f>401564-401538</f>
        <v>26</v>
      </c>
      <c r="E44" s="153">
        <v>186</v>
      </c>
      <c r="I44" s="2"/>
    </row>
    <row r="45" spans="1:11" ht="12.75" customHeight="1" x14ac:dyDescent="0.2">
      <c r="A45" s="162" t="s">
        <v>185</v>
      </c>
      <c r="B45" s="153">
        <v>14766</v>
      </c>
      <c r="C45" s="153">
        <v>13613</v>
      </c>
      <c r="D45" s="153">
        <f>408395-401564</f>
        <v>6831</v>
      </c>
      <c r="E45" s="153">
        <v>311</v>
      </c>
      <c r="I45" s="2"/>
    </row>
    <row r="46" spans="1:11" ht="12.75" customHeight="1" x14ac:dyDescent="0.2">
      <c r="A46" s="162" t="s">
        <v>186</v>
      </c>
      <c r="B46" s="153">
        <v>13896</v>
      </c>
      <c r="C46" s="153">
        <v>14168</v>
      </c>
      <c r="D46" s="153">
        <f>413800-408395</f>
        <v>5405</v>
      </c>
      <c r="E46" s="153">
        <v>0</v>
      </c>
      <c r="I46" s="2"/>
    </row>
    <row r="47" spans="1:11" ht="12.75" customHeight="1" x14ac:dyDescent="0.2">
      <c r="A47" s="162" t="s">
        <v>187</v>
      </c>
      <c r="B47" s="153">
        <v>14957</v>
      </c>
      <c r="C47" s="153">
        <v>12552</v>
      </c>
      <c r="D47" s="153">
        <v>1981</v>
      </c>
      <c r="E47" s="153">
        <v>555</v>
      </c>
      <c r="I47" s="2"/>
    </row>
    <row r="48" spans="1:11" ht="12.75" customHeight="1" x14ac:dyDescent="0.2">
      <c r="A48" s="162" t="s">
        <v>188</v>
      </c>
      <c r="B48" s="153">
        <v>10050</v>
      </c>
      <c r="C48" s="153">
        <v>8902</v>
      </c>
      <c r="D48" s="153">
        <v>1382</v>
      </c>
      <c r="E48" s="153">
        <v>363</v>
      </c>
      <c r="I48" s="2"/>
    </row>
    <row r="49" spans="1:11" ht="12.75" customHeight="1" x14ac:dyDescent="0.2">
      <c r="A49" s="162" t="s">
        <v>2</v>
      </c>
      <c r="B49" s="153">
        <f>SUBTOTAL(109,Tab_Pozzo5[2022])</f>
        <v>172777</v>
      </c>
      <c r="C49" s="153">
        <f>SUBTOTAL(109,Tab_Pozzo5[2023])</f>
        <v>156907</v>
      </c>
      <c r="D49" s="153">
        <f>SUBTOTAL(109,Tab_Pozzo5[2024])</f>
        <v>101069</v>
      </c>
      <c r="E49" s="153">
        <f>SUBTOTAL(109,Tab_Pozzo5[2025])</f>
        <v>84865</v>
      </c>
      <c r="I49" s="2"/>
    </row>
    <row r="50" spans="1:11" ht="12.75" customHeight="1" x14ac:dyDescent="0.2">
      <c r="A50" s="162"/>
      <c r="B50" s="153"/>
      <c r="C50" s="153"/>
      <c r="D50" s="153"/>
      <c r="E50" s="153"/>
      <c r="I50" s="2"/>
    </row>
    <row r="51" spans="1:11" ht="12.75" customHeight="1" x14ac:dyDescent="0.25">
      <c r="A51" s="161" t="s">
        <v>229</v>
      </c>
      <c r="B51" s="162"/>
      <c r="C51" s="162"/>
      <c r="D51" s="162"/>
      <c r="E51" s="162"/>
      <c r="F51" s="162"/>
      <c r="G51" s="153"/>
      <c r="H51" s="162"/>
      <c r="I51" s="162"/>
      <c r="J51" s="162"/>
      <c r="K51" s="162"/>
    </row>
    <row r="52" spans="1:11" ht="12.75" customHeight="1" x14ac:dyDescent="0.25">
      <c r="A52" s="10" t="s">
        <v>218</v>
      </c>
      <c r="B52" s="162" t="s">
        <v>169</v>
      </c>
      <c r="C52" s="162" t="s">
        <v>192</v>
      </c>
      <c r="D52" s="162" t="s">
        <v>204</v>
      </c>
      <c r="E52" s="162" t="s">
        <v>207</v>
      </c>
      <c r="I52" s="2"/>
    </row>
    <row r="53" spans="1:11" ht="12.75" customHeight="1" x14ac:dyDescent="0.2">
      <c r="A53" s="162" t="s">
        <v>219</v>
      </c>
      <c r="B53" s="153"/>
      <c r="C53" s="153"/>
      <c r="D53" s="153"/>
      <c r="E53" s="153"/>
      <c r="I53" s="2"/>
    </row>
    <row r="54" spans="1:11" ht="12.75" customHeight="1" x14ac:dyDescent="0.2">
      <c r="A54" s="162" t="s">
        <v>220</v>
      </c>
      <c r="B54" s="153"/>
      <c r="C54" s="153"/>
      <c r="D54" s="153"/>
      <c r="E54" s="153"/>
      <c r="I54" s="2"/>
    </row>
    <row r="55" spans="1:11" ht="12.75" customHeight="1" x14ac:dyDescent="0.2">
      <c r="A55" s="162" t="s">
        <v>221</v>
      </c>
      <c r="B55" s="153"/>
      <c r="C55" s="153"/>
      <c r="D55" s="153"/>
      <c r="E55" s="153"/>
      <c r="I55" s="2"/>
    </row>
    <row r="56" spans="1:11" ht="12.75" customHeight="1" x14ac:dyDescent="0.2">
      <c r="A56" s="162" t="s">
        <v>222</v>
      </c>
      <c r="B56" s="153"/>
      <c r="C56" s="153"/>
      <c r="D56" s="153"/>
      <c r="E56" s="153"/>
      <c r="I56" s="2"/>
    </row>
    <row r="57" spans="1:11" ht="12.75" customHeight="1" x14ac:dyDescent="0.2">
      <c r="A57" s="162" t="s">
        <v>223</v>
      </c>
      <c r="B57" s="153"/>
      <c r="C57" s="153"/>
      <c r="D57" s="153"/>
      <c r="E57" s="153"/>
      <c r="I57" s="2"/>
    </row>
    <row r="58" spans="1:11" ht="12.75" customHeight="1" x14ac:dyDescent="0.2">
      <c r="A58" s="162" t="s">
        <v>224</v>
      </c>
      <c r="B58" s="153"/>
      <c r="C58" s="153"/>
      <c r="D58" s="153"/>
      <c r="E58" s="153"/>
      <c r="I58" s="2"/>
    </row>
    <row r="59" spans="1:11" ht="12.75" customHeight="1" x14ac:dyDescent="0.2">
      <c r="A59" s="162" t="s">
        <v>225</v>
      </c>
      <c r="B59" s="153"/>
      <c r="C59" s="153"/>
      <c r="D59" s="153"/>
      <c r="E59" s="153"/>
      <c r="I59" s="2"/>
    </row>
    <row r="60" spans="1:11" ht="12.75" customHeight="1" x14ac:dyDescent="0.2">
      <c r="A60" s="162" t="s">
        <v>226</v>
      </c>
      <c r="B60" s="153"/>
      <c r="C60" s="153"/>
      <c r="D60" s="153"/>
      <c r="E60" s="153"/>
      <c r="I60" s="2"/>
    </row>
    <row r="61" spans="1:11" ht="12.75" customHeight="1" x14ac:dyDescent="0.2">
      <c r="A61" s="162" t="s">
        <v>185</v>
      </c>
      <c r="B61" s="153"/>
      <c r="C61" s="153"/>
      <c r="D61" s="153"/>
      <c r="E61" s="153"/>
      <c r="I61" s="2"/>
    </row>
    <row r="62" spans="1:11" ht="12.75" customHeight="1" x14ac:dyDescent="0.2">
      <c r="A62" s="162" t="s">
        <v>186</v>
      </c>
      <c r="B62" s="153"/>
      <c r="C62" s="153"/>
      <c r="D62" s="153"/>
      <c r="E62" s="153"/>
      <c r="I62" s="2"/>
    </row>
    <row r="63" spans="1:11" ht="12.75" customHeight="1" x14ac:dyDescent="0.2">
      <c r="A63" s="162" t="s">
        <v>187</v>
      </c>
      <c r="B63" s="153"/>
      <c r="C63" s="153"/>
      <c r="D63" s="153"/>
      <c r="E63" s="153"/>
      <c r="I63" s="2"/>
    </row>
    <row r="64" spans="1:11" ht="12.75" customHeight="1" x14ac:dyDescent="0.2">
      <c r="A64" s="162" t="s">
        <v>188</v>
      </c>
      <c r="B64" s="153"/>
      <c r="C64" s="153"/>
      <c r="D64" s="153"/>
      <c r="E64" s="153">
        <v>1371</v>
      </c>
      <c r="I64" s="2"/>
    </row>
    <row r="65" spans="1:11" ht="12.75" customHeight="1" x14ac:dyDescent="0.2">
      <c r="A65" s="162" t="s">
        <v>2</v>
      </c>
      <c r="B65" s="153">
        <f>SUBTOTAL(109,Tab_Pozzo6[2022])</f>
        <v>0</v>
      </c>
      <c r="C65" s="153">
        <f>SUBTOTAL(109,Tab_Pozzo6[2023])</f>
        <v>0</v>
      </c>
      <c r="D65" s="153">
        <f>SUBTOTAL(109,Tab_Pozzo6[2024])</f>
        <v>0</v>
      </c>
      <c r="E65" s="153">
        <f>SUBTOTAL(109,Tab_Pozzo6[2025])</f>
        <v>1371</v>
      </c>
      <c r="I65" s="2"/>
    </row>
    <row r="66" spans="1:11" ht="12.75" customHeight="1" x14ac:dyDescent="0.2">
      <c r="A66" s="162"/>
      <c r="B66" s="153"/>
      <c r="C66" s="153"/>
      <c r="D66" s="153"/>
      <c r="E66" s="153"/>
      <c r="F66" s="153"/>
      <c r="G66" s="153"/>
      <c r="H66" s="153"/>
      <c r="I66" s="153"/>
      <c r="J66" s="153"/>
      <c r="K66" s="153"/>
    </row>
    <row r="67" spans="1:11" ht="12.75" customHeight="1" x14ac:dyDescent="0.2">
      <c r="A67" s="162"/>
      <c r="B67" s="153"/>
      <c r="C67" s="153"/>
      <c r="D67" s="153"/>
      <c r="E67" s="153"/>
      <c r="F67" s="153"/>
      <c r="G67" s="153"/>
      <c r="H67" s="153"/>
      <c r="I67" s="153"/>
      <c r="J67" s="153"/>
      <c r="K67" s="153"/>
    </row>
    <row r="68" spans="1:11" x14ac:dyDescent="0.2">
      <c r="A68" s="54" t="s">
        <v>127</v>
      </c>
      <c r="B68" s="42" t="s">
        <v>128</v>
      </c>
      <c r="C68" s="42" t="s">
        <v>169</v>
      </c>
      <c r="D68" s="87" t="s">
        <v>192</v>
      </c>
      <c r="E68" s="151" t="s">
        <v>204</v>
      </c>
      <c r="F68" s="151" t="s">
        <v>207</v>
      </c>
      <c r="I68" s="2"/>
    </row>
    <row r="69" spans="1:11" ht="25.5" x14ac:dyDescent="0.2">
      <c r="A69" s="73" t="s">
        <v>78</v>
      </c>
      <c r="B69" s="4" t="s">
        <v>26</v>
      </c>
      <c r="C69" s="88">
        <f>Tab_Pozzo3[[#Totals],[2022]]+Tab_Pozzo4[[#Totals],[2022]]+Tab_Pozzo5[[#Totals],[2022]]+Tab_Pozzo6[[#Totals],[2022]]</f>
        <v>633860</v>
      </c>
      <c r="D69" s="88">
        <f>Tab_Pozzo3[[#Totals],[2023]]+Tab_Pozzo4[[#Totals],[2023]]+Tab_Pozzo5[[#Totals],[2023]]+Tab_Pozzo6[[#Totals],[2023]]</f>
        <v>583466</v>
      </c>
      <c r="E69" s="88">
        <f>Tab_Pozzo3[[#Totals],[2024]]+Tab_Pozzo4[[#Totals],[2024]]+Tab_Pozzo5[[#Totals],[2024]]+Tab_Pozzo6[[#Totals],[2024]]</f>
        <v>636497</v>
      </c>
      <c r="F69" s="88">
        <f>Tab_Pozzo3[[#Totals],[2025]]+Tab_Pozzo4[[#Totals],[2025]]+Tab_Pozzo5[[#Totals],[2025]]+Tab_Pozzo6[[#Totals],[2025]]</f>
        <v>683689</v>
      </c>
      <c r="I69" s="2"/>
    </row>
    <row r="70" spans="1:11" ht="27" customHeight="1" x14ac:dyDescent="0.2">
      <c r="A70" s="61" t="s">
        <v>23</v>
      </c>
      <c r="B70" s="50" t="s">
        <v>26</v>
      </c>
      <c r="C70" s="74">
        <v>1500</v>
      </c>
      <c r="D70" s="74">
        <v>1500</v>
      </c>
      <c r="E70" s="74">
        <v>3295</v>
      </c>
      <c r="F70" s="74">
        <v>1134</v>
      </c>
      <c r="I70" s="2"/>
    </row>
    <row r="71" spans="1:11" ht="27" customHeight="1" x14ac:dyDescent="0.2">
      <c r="A71" s="101" t="s">
        <v>160</v>
      </c>
      <c r="B71" s="50" t="s">
        <v>26</v>
      </c>
      <c r="C71" s="75">
        <v>115258</v>
      </c>
      <c r="D71" s="75">
        <v>145879</v>
      </c>
      <c r="E71" s="75">
        <v>203640</v>
      </c>
      <c r="F71" s="75">
        <v>213454</v>
      </c>
      <c r="I71" s="2"/>
    </row>
    <row r="73" spans="1:11" x14ac:dyDescent="0.2">
      <c r="B73" s="348" t="s">
        <v>24</v>
      </c>
      <c r="C73" s="348"/>
      <c r="D73" s="348"/>
      <c r="E73" s="348"/>
      <c r="F73" s="348"/>
      <c r="G73" s="6"/>
      <c r="H73" s="6"/>
      <c r="I73" s="6"/>
    </row>
    <row r="74" spans="1:11" x14ac:dyDescent="0.2">
      <c r="A74" s="63" t="s">
        <v>127</v>
      </c>
      <c r="B74" s="42" t="s">
        <v>128</v>
      </c>
      <c r="C74" s="42" t="s">
        <v>169</v>
      </c>
      <c r="D74" s="42" t="s">
        <v>192</v>
      </c>
      <c r="E74" s="42" t="s">
        <v>204</v>
      </c>
      <c r="F74" s="42" t="s">
        <v>207</v>
      </c>
      <c r="I74" s="2"/>
    </row>
    <row r="75" spans="1:11" ht="25.5" x14ac:dyDescent="0.2">
      <c r="A75" s="61" t="s">
        <v>20</v>
      </c>
      <c r="B75" s="4" t="s">
        <v>25</v>
      </c>
      <c r="C75" s="85">
        <v>0.2</v>
      </c>
      <c r="D75" s="85">
        <v>0.2</v>
      </c>
      <c r="E75" s="85">
        <v>0.2</v>
      </c>
      <c r="F75" s="85">
        <v>0.16</v>
      </c>
      <c r="I75" s="2"/>
      <c r="J75" s="343"/>
    </row>
    <row r="76" spans="1:11" ht="14.25" x14ac:dyDescent="0.2">
      <c r="A76" s="62"/>
      <c r="B76" s="4" t="s">
        <v>26</v>
      </c>
      <c r="C76" s="9">
        <f>C69*C75</f>
        <v>126772</v>
      </c>
      <c r="D76" s="9">
        <f>D69*D75</f>
        <v>116693.20000000001</v>
      </c>
      <c r="E76" s="9">
        <f>E69*E75</f>
        <v>127299.40000000001</v>
      </c>
      <c r="F76" s="9">
        <f>F69*F75</f>
        <v>109390.24</v>
      </c>
      <c r="I76" s="2"/>
    </row>
    <row r="77" spans="1:11" ht="25.5" x14ac:dyDescent="0.2">
      <c r="A77" s="61" t="s">
        <v>64</v>
      </c>
      <c r="B77" s="4" t="s">
        <v>25</v>
      </c>
      <c r="C77" s="112">
        <v>0.3</v>
      </c>
      <c r="D77" s="112">
        <v>0.3</v>
      </c>
      <c r="E77" s="112">
        <v>0.3</v>
      </c>
      <c r="F77" s="112">
        <v>0.4</v>
      </c>
      <c r="I77" s="2"/>
    </row>
    <row r="78" spans="1:11" ht="14.25" x14ac:dyDescent="0.2">
      <c r="A78" s="62"/>
      <c r="B78" s="4" t="s">
        <v>26</v>
      </c>
      <c r="C78" s="9">
        <f>C69*C77</f>
        <v>190158</v>
      </c>
      <c r="D78" s="9">
        <f>D69*D77</f>
        <v>175039.8</v>
      </c>
      <c r="E78" s="9">
        <f>E69*E77</f>
        <v>190949.1</v>
      </c>
      <c r="F78" s="9">
        <f>F69*F77</f>
        <v>273475.60000000003</v>
      </c>
      <c r="I78" s="2"/>
    </row>
    <row r="79" spans="1:11" x14ac:dyDescent="0.2">
      <c r="A79" s="52" t="s">
        <v>60</v>
      </c>
      <c r="B79" s="4" t="s">
        <v>25</v>
      </c>
      <c r="C79" s="112">
        <v>0.35</v>
      </c>
      <c r="D79" s="112">
        <v>0.35</v>
      </c>
      <c r="E79" s="112">
        <v>0.35</v>
      </c>
      <c r="F79" s="112">
        <v>0.2</v>
      </c>
      <c r="I79" s="2"/>
    </row>
    <row r="80" spans="1:11" ht="14.25" x14ac:dyDescent="0.2">
      <c r="A80" s="52"/>
      <c r="B80" s="4" t="s">
        <v>26</v>
      </c>
      <c r="C80" s="9">
        <f>C69*C79</f>
        <v>221851</v>
      </c>
      <c r="D80" s="9">
        <f>D69*D79</f>
        <v>204213.09999999998</v>
      </c>
      <c r="E80" s="9">
        <f>E69*E79</f>
        <v>222773.94999999998</v>
      </c>
      <c r="F80" s="9">
        <f>F69*F79</f>
        <v>136737.80000000002</v>
      </c>
      <c r="I80" s="2"/>
    </row>
    <row r="81" spans="1:12" x14ac:dyDescent="0.2">
      <c r="A81" s="52" t="s">
        <v>79</v>
      </c>
      <c r="B81" s="4" t="s">
        <v>25</v>
      </c>
      <c r="C81" s="112">
        <v>0.15</v>
      </c>
      <c r="D81" s="112">
        <v>0.15</v>
      </c>
      <c r="E81" s="112">
        <v>0.15</v>
      </c>
      <c r="F81" s="112">
        <v>0.24</v>
      </c>
      <c r="I81" s="2"/>
    </row>
    <row r="82" spans="1:12" ht="14.25" x14ac:dyDescent="0.2">
      <c r="A82" s="64"/>
      <c r="B82" s="50" t="s">
        <v>26</v>
      </c>
      <c r="C82" s="9">
        <f>C69*C81</f>
        <v>95079</v>
      </c>
      <c r="D82" s="9">
        <f>D69*D81</f>
        <v>87519.9</v>
      </c>
      <c r="E82" s="9">
        <f>E69*E81</f>
        <v>95474.55</v>
      </c>
      <c r="F82" s="9">
        <f>F69*F81</f>
        <v>164085.35999999999</v>
      </c>
      <c r="I82" s="2"/>
    </row>
    <row r="84" spans="1:12" x14ac:dyDescent="0.2">
      <c r="K84" s="86"/>
      <c r="L84" s="84"/>
    </row>
  </sheetData>
  <mergeCells count="2">
    <mergeCell ref="A1:I1"/>
    <mergeCell ref="B73:F73"/>
  </mergeCells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>
    <oddHeader>&amp;C&amp;F</oddHeader>
    <oddFooter>&amp;C&amp;A</oddFooter>
  </headerFooter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16"/>
  <sheetViews>
    <sheetView zoomScaleNormal="100" zoomScaleSheetLayoutView="100" workbookViewId="0">
      <selection activeCell="I82" sqref="I82"/>
    </sheetView>
  </sheetViews>
  <sheetFormatPr defaultColWidth="9.140625" defaultRowHeight="12.75" x14ac:dyDescent="0.2"/>
  <cols>
    <col min="1" max="1" width="26.140625" style="8" bestFit="1" customWidth="1"/>
    <col min="2" max="2" width="9.7109375" style="11" customWidth="1"/>
    <col min="3" max="3" width="14.7109375" style="8" customWidth="1"/>
    <col min="4" max="9" width="14.7109375" style="7" customWidth="1"/>
    <col min="10" max="10" width="9.7109375" style="11" customWidth="1"/>
    <col min="11" max="11" width="14.7109375" style="8" customWidth="1"/>
    <col min="12" max="12" width="6.7109375" style="8" customWidth="1"/>
    <col min="13" max="13" width="13.7109375" style="40" customWidth="1"/>
    <col min="14" max="14" width="6.7109375" style="8" customWidth="1"/>
    <col min="15" max="15" width="13.7109375" style="40" customWidth="1"/>
    <col min="16" max="16" width="6.7109375" style="8" customWidth="1"/>
    <col min="17" max="17" width="13.7109375" style="40" customWidth="1"/>
    <col min="18" max="18" width="6.7109375" style="8" customWidth="1"/>
    <col min="19" max="19" width="13.85546875" style="40" customWidth="1"/>
    <col min="20" max="16384" width="9.140625" style="8"/>
  </cols>
  <sheetData>
    <row r="1" spans="1:19" x14ac:dyDescent="0.2">
      <c r="B1" s="348" t="s">
        <v>12</v>
      </c>
      <c r="C1" s="348"/>
      <c r="D1" s="348"/>
      <c r="E1" s="348"/>
      <c r="F1" s="348"/>
      <c r="G1" s="348"/>
      <c r="H1" s="348"/>
      <c r="I1" s="348"/>
      <c r="J1" s="8"/>
      <c r="M1" s="8"/>
      <c r="O1" s="8"/>
      <c r="Q1" s="8"/>
      <c r="S1" s="8"/>
    </row>
    <row r="2" spans="1:19" x14ac:dyDescent="0.2">
      <c r="B2" s="1"/>
      <c r="C2" s="1"/>
      <c r="D2" s="1"/>
      <c r="E2" s="1"/>
      <c r="F2" s="1"/>
      <c r="G2" s="1"/>
      <c r="H2" s="1"/>
      <c r="I2" s="1"/>
      <c r="J2" s="8"/>
      <c r="M2" s="8"/>
      <c r="O2" s="8"/>
      <c r="Q2" s="8"/>
      <c r="S2" s="8"/>
    </row>
    <row r="3" spans="1:19" ht="15" x14ac:dyDescent="0.25">
      <c r="A3" s="161" t="s">
        <v>231</v>
      </c>
      <c r="B3" s="162"/>
      <c r="C3" s="162"/>
      <c r="D3" s="162"/>
      <c r="E3" s="162"/>
      <c r="F3" s="162"/>
      <c r="G3" s="153"/>
      <c r="H3" s="162"/>
      <c r="I3" s="162"/>
      <c r="J3" s="162"/>
      <c r="K3" s="162"/>
      <c r="M3" s="8"/>
      <c r="O3" s="8"/>
      <c r="Q3" s="8"/>
      <c r="S3" s="8"/>
    </row>
    <row r="4" spans="1:19" x14ac:dyDescent="0.2">
      <c r="A4" s="10" t="s">
        <v>232</v>
      </c>
      <c r="B4" s="162" t="s">
        <v>169</v>
      </c>
      <c r="C4" s="162" t="s">
        <v>192</v>
      </c>
      <c r="D4" s="162" t="s">
        <v>204</v>
      </c>
      <c r="E4" s="162" t="s">
        <v>207</v>
      </c>
      <c r="F4" s="8"/>
      <c r="G4" s="8"/>
      <c r="H4" s="8"/>
      <c r="I4" s="8"/>
      <c r="J4" s="8"/>
      <c r="M4" s="8"/>
      <c r="O4" s="8"/>
      <c r="Q4" s="8"/>
      <c r="S4" s="8"/>
    </row>
    <row r="5" spans="1:19" x14ac:dyDescent="0.2">
      <c r="A5" s="162" t="s">
        <v>219</v>
      </c>
      <c r="B5" s="153">
        <v>215106</v>
      </c>
      <c r="C5" s="153">
        <v>378890</v>
      </c>
      <c r="D5" s="153">
        <v>278724</v>
      </c>
      <c r="E5" s="153">
        <v>276972</v>
      </c>
      <c r="F5" s="8"/>
      <c r="G5" s="8"/>
      <c r="H5" s="8"/>
      <c r="I5" s="8"/>
      <c r="J5" s="8"/>
      <c r="M5" s="8"/>
      <c r="O5" s="8"/>
      <c r="Q5" s="8"/>
      <c r="S5" s="8"/>
    </row>
    <row r="6" spans="1:19" x14ac:dyDescent="0.2">
      <c r="A6" s="162" t="s">
        <v>220</v>
      </c>
      <c r="B6" s="153">
        <v>318027</v>
      </c>
      <c r="C6" s="153">
        <v>330002</v>
      </c>
      <c r="D6" s="153">
        <v>270144</v>
      </c>
      <c r="E6" s="153">
        <v>352452</v>
      </c>
      <c r="F6" s="8"/>
      <c r="G6" s="8"/>
      <c r="H6" s="8"/>
      <c r="I6" s="8"/>
      <c r="J6" s="8"/>
      <c r="M6" s="8"/>
      <c r="O6" s="8"/>
      <c r="Q6" s="8"/>
      <c r="S6" s="8"/>
    </row>
    <row r="7" spans="1:19" x14ac:dyDescent="0.2">
      <c r="A7" s="162" t="s">
        <v>221</v>
      </c>
      <c r="B7" s="153">
        <v>355272</v>
      </c>
      <c r="C7" s="153">
        <v>318990</v>
      </c>
      <c r="D7" s="153">
        <v>278244</v>
      </c>
      <c r="E7" s="153">
        <v>313224</v>
      </c>
      <c r="F7" s="8"/>
      <c r="G7" s="8"/>
      <c r="H7" s="8"/>
      <c r="I7" s="8"/>
      <c r="J7" s="8"/>
      <c r="M7" s="8"/>
      <c r="O7" s="8"/>
      <c r="Q7" s="8"/>
      <c r="S7" s="8"/>
    </row>
    <row r="8" spans="1:19" x14ac:dyDescent="0.2">
      <c r="A8" s="162" t="s">
        <v>222</v>
      </c>
      <c r="B8" s="153">
        <v>310326</v>
      </c>
      <c r="C8" s="153">
        <v>254798</v>
      </c>
      <c r="D8" s="153">
        <v>265140</v>
      </c>
      <c r="E8" s="153">
        <v>314988</v>
      </c>
      <c r="F8" s="8"/>
      <c r="G8" s="8"/>
      <c r="H8" s="8"/>
      <c r="I8" s="8"/>
      <c r="J8" s="8"/>
      <c r="M8" s="8"/>
      <c r="O8" s="8"/>
      <c r="Q8" s="8"/>
      <c r="S8" s="8"/>
    </row>
    <row r="9" spans="1:19" x14ac:dyDescent="0.2">
      <c r="A9" s="162" t="s">
        <v>223</v>
      </c>
      <c r="B9" s="153">
        <v>339926</v>
      </c>
      <c r="C9" s="153">
        <v>289833</v>
      </c>
      <c r="D9" s="153">
        <v>270948</v>
      </c>
      <c r="E9" s="153">
        <v>281844</v>
      </c>
      <c r="F9" s="8"/>
      <c r="G9" s="8"/>
      <c r="H9" s="8"/>
      <c r="I9" s="8"/>
      <c r="J9" s="8"/>
      <c r="M9" s="8"/>
      <c r="O9" s="8"/>
      <c r="Q9" s="8"/>
      <c r="S9" s="8"/>
    </row>
    <row r="10" spans="1:19" x14ac:dyDescent="0.2">
      <c r="A10" s="162" t="s">
        <v>224</v>
      </c>
      <c r="B10" s="153">
        <v>346288</v>
      </c>
      <c r="C10" s="153">
        <v>283646</v>
      </c>
      <c r="D10" s="153">
        <v>232992</v>
      </c>
      <c r="E10" s="153">
        <v>290793</v>
      </c>
      <c r="F10" s="8"/>
      <c r="G10" s="8"/>
      <c r="H10" s="8"/>
      <c r="I10" s="8"/>
      <c r="J10" s="8"/>
      <c r="M10" s="8"/>
      <c r="O10" s="8"/>
      <c r="Q10" s="8"/>
      <c r="S10" s="8"/>
    </row>
    <row r="11" spans="1:19" x14ac:dyDescent="0.2">
      <c r="A11" s="162" t="s">
        <v>225</v>
      </c>
      <c r="B11" s="153">
        <v>343534</v>
      </c>
      <c r="C11" s="153">
        <v>211716</v>
      </c>
      <c r="D11" s="153">
        <v>272856</v>
      </c>
      <c r="E11" s="153">
        <v>240914</v>
      </c>
      <c r="F11" s="8"/>
      <c r="G11" s="8"/>
      <c r="H11" s="8"/>
      <c r="I11" s="8"/>
      <c r="J11" s="8"/>
      <c r="M11" s="8"/>
      <c r="O11" s="8"/>
      <c r="Q11" s="8"/>
      <c r="S11" s="8"/>
    </row>
    <row r="12" spans="1:19" x14ac:dyDescent="0.2">
      <c r="A12" s="162" t="s">
        <v>226</v>
      </c>
      <c r="B12" s="153">
        <v>126264</v>
      </c>
      <c r="C12" s="153">
        <v>80136</v>
      </c>
      <c r="D12" s="153">
        <v>57012</v>
      </c>
      <c r="E12" s="153">
        <v>61942</v>
      </c>
      <c r="F12" s="8"/>
      <c r="G12" s="8"/>
      <c r="H12" s="8"/>
      <c r="I12" s="8"/>
      <c r="J12" s="8"/>
      <c r="M12" s="8"/>
      <c r="O12" s="8"/>
      <c r="Q12" s="8"/>
      <c r="S12" s="8"/>
    </row>
    <row r="13" spans="1:19" x14ac:dyDescent="0.2">
      <c r="A13" s="162" t="s">
        <v>185</v>
      </c>
      <c r="B13" s="153">
        <v>375840</v>
      </c>
      <c r="C13" s="153">
        <v>237816</v>
      </c>
      <c r="D13" s="153">
        <v>283008</v>
      </c>
      <c r="E13" s="153">
        <v>228929</v>
      </c>
      <c r="F13" s="8"/>
      <c r="G13" s="8"/>
      <c r="H13" s="8"/>
      <c r="I13" s="8"/>
      <c r="J13" s="8"/>
      <c r="M13" s="8"/>
      <c r="O13" s="8"/>
      <c r="Q13" s="8"/>
      <c r="S13" s="8"/>
    </row>
    <row r="14" spans="1:19" x14ac:dyDescent="0.2">
      <c r="A14" s="162" t="s">
        <v>186</v>
      </c>
      <c r="B14" s="153">
        <v>644088</v>
      </c>
      <c r="C14" s="153">
        <v>202656</v>
      </c>
      <c r="D14" s="153">
        <v>357228</v>
      </c>
      <c r="E14" s="153">
        <v>311352</v>
      </c>
      <c r="F14" s="8"/>
      <c r="G14" s="8"/>
      <c r="H14" s="8"/>
      <c r="I14" s="8"/>
      <c r="J14" s="8"/>
      <c r="M14" s="8"/>
      <c r="O14" s="8"/>
      <c r="Q14" s="8"/>
      <c r="S14" s="8"/>
    </row>
    <row r="15" spans="1:19" x14ac:dyDescent="0.2">
      <c r="A15" s="162" t="s">
        <v>187</v>
      </c>
      <c r="B15" s="153">
        <v>781584</v>
      </c>
      <c r="C15" s="153">
        <v>203412</v>
      </c>
      <c r="D15" s="153">
        <v>197400</v>
      </c>
      <c r="E15" s="153">
        <v>498948</v>
      </c>
      <c r="F15" s="8"/>
      <c r="G15" s="8"/>
      <c r="H15" s="8"/>
      <c r="I15" s="8"/>
      <c r="J15" s="8"/>
      <c r="M15" s="8"/>
      <c r="O15" s="8"/>
      <c r="Q15" s="8"/>
      <c r="S15" s="8"/>
    </row>
    <row r="16" spans="1:19" x14ac:dyDescent="0.2">
      <c r="A16" s="162" t="s">
        <v>188</v>
      </c>
      <c r="B16" s="153">
        <v>561948</v>
      </c>
      <c r="C16" s="153">
        <v>206304</v>
      </c>
      <c r="D16" s="153">
        <v>171228</v>
      </c>
      <c r="E16" s="153">
        <v>306264</v>
      </c>
      <c r="F16" s="8"/>
      <c r="G16" s="8"/>
      <c r="H16" s="8"/>
      <c r="I16" s="8"/>
      <c r="J16" s="8"/>
      <c r="M16" s="8"/>
      <c r="O16" s="8"/>
      <c r="Q16" s="8"/>
      <c r="S16" s="8"/>
    </row>
    <row r="17" spans="1:19" x14ac:dyDescent="0.2">
      <c r="A17" s="162" t="s">
        <v>2</v>
      </c>
      <c r="B17" s="153">
        <f>SUBTOTAL(109,Tab_En_El_acq[2022])</f>
        <v>4718203</v>
      </c>
      <c r="C17" s="153">
        <f>SUBTOTAL(109,Tab_En_El_acq[2023])</f>
        <v>2998199</v>
      </c>
      <c r="D17" s="153">
        <f>SUBTOTAL(109,Tab_En_El_acq[2024])</f>
        <v>2934924</v>
      </c>
      <c r="E17" s="153">
        <f>SUBTOTAL(109,Tab_En_El_acq[2025])</f>
        <v>3478622</v>
      </c>
      <c r="F17" s="8"/>
      <c r="G17" s="8"/>
      <c r="H17" s="8"/>
      <c r="I17" s="8"/>
      <c r="J17" s="8"/>
      <c r="M17" s="8"/>
      <c r="O17" s="8"/>
      <c r="Q17" s="8"/>
      <c r="S17" s="8"/>
    </row>
    <row r="18" spans="1:19" x14ac:dyDescent="0.2">
      <c r="B18" s="1"/>
      <c r="C18" s="1"/>
      <c r="D18" s="1"/>
      <c r="E18" s="1"/>
      <c r="F18" s="1"/>
      <c r="G18" s="1"/>
      <c r="H18" s="1"/>
      <c r="I18" s="1"/>
      <c r="J18" s="8"/>
      <c r="M18" s="8"/>
      <c r="O18" s="8"/>
      <c r="Q18" s="8"/>
      <c r="S18" s="8"/>
    </row>
    <row r="19" spans="1:19" x14ac:dyDescent="0.2">
      <c r="B19" s="1"/>
      <c r="C19" s="1"/>
      <c r="D19" s="1"/>
      <c r="E19" s="1"/>
      <c r="F19" s="1"/>
      <c r="G19" s="1"/>
      <c r="H19" s="1"/>
      <c r="I19" s="1"/>
      <c r="J19" s="8"/>
      <c r="M19" s="8"/>
      <c r="O19" s="8"/>
      <c r="Q19" s="8"/>
      <c r="S19" s="8"/>
    </row>
    <row r="20" spans="1:19" ht="15" x14ac:dyDescent="0.25">
      <c r="A20" s="161" t="s">
        <v>233</v>
      </c>
      <c r="B20" s="162"/>
      <c r="C20" s="162"/>
      <c r="D20" s="162"/>
      <c r="E20" s="162"/>
      <c r="F20" s="162"/>
      <c r="G20" s="153"/>
      <c r="H20" s="162"/>
      <c r="I20" s="162"/>
      <c r="J20" s="162"/>
      <c r="K20" s="162"/>
      <c r="M20" s="8"/>
      <c r="O20" s="8"/>
      <c r="Q20" s="8"/>
      <c r="S20" s="8"/>
    </row>
    <row r="21" spans="1:19" x14ac:dyDescent="0.2">
      <c r="A21" s="10" t="s">
        <v>232</v>
      </c>
      <c r="B21" s="162" t="s">
        <v>169</v>
      </c>
      <c r="C21" s="162" t="s">
        <v>192</v>
      </c>
      <c r="D21" s="162" t="s">
        <v>204</v>
      </c>
      <c r="E21" s="162" t="s">
        <v>207</v>
      </c>
      <c r="F21" s="8"/>
      <c r="G21" s="8"/>
      <c r="H21" s="8"/>
      <c r="I21" s="8"/>
      <c r="J21" s="8"/>
      <c r="M21" s="8"/>
      <c r="O21" s="8"/>
      <c r="Q21" s="8"/>
      <c r="S21" s="8"/>
    </row>
    <row r="22" spans="1:19" x14ac:dyDescent="0.2">
      <c r="A22" s="162" t="s">
        <v>219</v>
      </c>
      <c r="B22" s="153">
        <v>25072</v>
      </c>
      <c r="C22" s="153">
        <v>18789</v>
      </c>
      <c r="D22" s="153">
        <v>42358</v>
      </c>
      <c r="E22" s="153">
        <v>14317</v>
      </c>
      <c r="F22" s="8"/>
      <c r="G22" s="8"/>
      <c r="H22" s="8"/>
      <c r="I22" s="8"/>
      <c r="J22" s="8"/>
      <c r="M22" s="8"/>
      <c r="O22" s="8"/>
      <c r="Q22" s="8"/>
      <c r="S22" s="8"/>
    </row>
    <row r="23" spans="1:19" x14ac:dyDescent="0.2">
      <c r="A23" s="162" t="s">
        <v>220</v>
      </c>
      <c r="B23" s="153">
        <v>33064</v>
      </c>
      <c r="C23" s="153">
        <v>28870</v>
      </c>
      <c r="D23" s="153">
        <v>20978</v>
      </c>
      <c r="E23" s="153">
        <v>17494</v>
      </c>
      <c r="F23" s="8"/>
      <c r="G23" s="8"/>
      <c r="H23" s="8"/>
      <c r="I23" s="8"/>
      <c r="J23" s="8"/>
      <c r="M23" s="8"/>
      <c r="O23" s="8"/>
      <c r="Q23" s="8"/>
      <c r="S23" s="8"/>
    </row>
    <row r="24" spans="1:19" x14ac:dyDescent="0.2">
      <c r="A24" s="162" t="s">
        <v>221</v>
      </c>
      <c r="B24" s="153">
        <v>41307</v>
      </c>
      <c r="C24" s="153">
        <v>46273</v>
      </c>
      <c r="D24" s="153">
        <v>33292</v>
      </c>
      <c r="E24" s="153">
        <v>37536</v>
      </c>
      <c r="F24" s="8"/>
      <c r="G24" s="8"/>
      <c r="H24" s="8"/>
      <c r="I24" s="8"/>
      <c r="J24" s="8"/>
      <c r="M24" s="8"/>
      <c r="O24" s="8"/>
      <c r="Q24" s="8"/>
      <c r="S24" s="8"/>
    </row>
    <row r="25" spans="1:19" x14ac:dyDescent="0.2">
      <c r="A25" s="162" t="s">
        <v>222</v>
      </c>
      <c r="B25" s="153">
        <v>52317</v>
      </c>
      <c r="C25" s="153">
        <v>55614.400000000001</v>
      </c>
      <c r="D25" s="153">
        <v>44610</v>
      </c>
      <c r="E25" s="153">
        <v>45741</v>
      </c>
      <c r="F25" s="8"/>
      <c r="G25" s="8"/>
      <c r="H25" s="8"/>
      <c r="I25" s="8"/>
      <c r="J25" s="8"/>
      <c r="M25" s="8"/>
      <c r="O25" s="8"/>
      <c r="Q25" s="8"/>
      <c r="S25" s="8"/>
    </row>
    <row r="26" spans="1:19" x14ac:dyDescent="0.2">
      <c r="A26" s="162" t="s">
        <v>223</v>
      </c>
      <c r="B26" s="153">
        <v>55267.199999999997</v>
      </c>
      <c r="C26" s="153">
        <v>52184</v>
      </c>
      <c r="D26" s="153">
        <v>48748</v>
      </c>
      <c r="E26" s="153">
        <v>54850</v>
      </c>
      <c r="F26" s="8"/>
      <c r="G26" s="8"/>
      <c r="H26" s="8"/>
      <c r="I26" s="8"/>
      <c r="J26" s="8"/>
      <c r="M26" s="8"/>
      <c r="O26" s="8"/>
      <c r="Q26" s="8"/>
      <c r="S26" s="8"/>
    </row>
    <row r="27" spans="1:19" x14ac:dyDescent="0.2">
      <c r="A27" s="162" t="s">
        <v>224</v>
      </c>
      <c r="B27" s="153">
        <v>62361.599999999999</v>
      </c>
      <c r="C27" s="153">
        <v>57375</v>
      </c>
      <c r="D27" s="153">
        <v>53379</v>
      </c>
      <c r="E27" s="153">
        <v>50385.599999999999</v>
      </c>
      <c r="F27" s="8"/>
      <c r="G27" s="8"/>
      <c r="H27" s="8"/>
      <c r="I27" s="8"/>
      <c r="J27" s="8"/>
      <c r="M27" s="8"/>
      <c r="O27" s="8"/>
      <c r="Q27" s="8"/>
      <c r="S27" s="8"/>
    </row>
    <row r="28" spans="1:19" x14ac:dyDescent="0.2">
      <c r="A28" s="162" t="s">
        <v>225</v>
      </c>
      <c r="B28" s="153">
        <v>71701</v>
      </c>
      <c r="C28" s="153">
        <v>69400</v>
      </c>
      <c r="D28" s="153">
        <v>63968</v>
      </c>
      <c r="E28" s="153">
        <v>56712</v>
      </c>
      <c r="F28" s="8"/>
      <c r="G28" s="8"/>
      <c r="H28" s="8"/>
      <c r="I28" s="8"/>
      <c r="J28" s="8"/>
      <c r="M28" s="8"/>
      <c r="O28" s="8"/>
      <c r="Q28" s="8"/>
      <c r="S28" s="8"/>
    </row>
    <row r="29" spans="1:19" x14ac:dyDescent="0.2">
      <c r="A29" s="162" t="s">
        <v>226</v>
      </c>
      <c r="B29" s="153">
        <v>62182</v>
      </c>
      <c r="C29" s="153">
        <v>61768</v>
      </c>
      <c r="D29" s="153">
        <v>61646</v>
      </c>
      <c r="E29" s="153">
        <v>50602</v>
      </c>
      <c r="F29" s="8"/>
      <c r="G29" s="8"/>
      <c r="H29" s="8"/>
      <c r="I29" s="8"/>
      <c r="J29" s="8"/>
      <c r="M29" s="8"/>
      <c r="O29" s="8"/>
      <c r="Q29" s="8"/>
      <c r="S29" s="8"/>
    </row>
    <row r="30" spans="1:19" x14ac:dyDescent="0.2">
      <c r="A30" s="162" t="s">
        <v>185</v>
      </c>
      <c r="B30" s="153">
        <v>47637</v>
      </c>
      <c r="C30" s="153">
        <v>46939</v>
      </c>
      <c r="D30" s="153">
        <v>35433</v>
      </c>
      <c r="E30" s="153">
        <v>40314</v>
      </c>
      <c r="F30" s="8"/>
      <c r="G30" s="8"/>
      <c r="H30" s="8"/>
      <c r="I30" s="8"/>
      <c r="J30" s="8"/>
      <c r="M30" s="8"/>
      <c r="O30" s="8"/>
      <c r="Q30" s="8"/>
      <c r="S30" s="8"/>
    </row>
    <row r="31" spans="1:19" x14ac:dyDescent="0.2">
      <c r="A31" s="162" t="s">
        <v>186</v>
      </c>
      <c r="B31" s="153">
        <v>35547</v>
      </c>
      <c r="C31" s="153">
        <v>32120</v>
      </c>
      <c r="D31" s="153">
        <v>22781</v>
      </c>
      <c r="E31" s="153">
        <v>29264</v>
      </c>
      <c r="F31" s="8"/>
      <c r="G31" s="8"/>
      <c r="H31" s="8"/>
      <c r="I31" s="8"/>
      <c r="J31" s="8"/>
      <c r="M31" s="8"/>
      <c r="O31" s="8"/>
      <c r="Q31" s="8"/>
      <c r="S31" s="8"/>
    </row>
    <row r="32" spans="1:19" x14ac:dyDescent="0.2">
      <c r="A32" s="162" t="s">
        <v>187</v>
      </c>
      <c r="B32" s="153">
        <v>32337</v>
      </c>
      <c r="C32" s="153">
        <v>25032</v>
      </c>
      <c r="D32" s="153">
        <v>20483</v>
      </c>
      <c r="E32" s="153">
        <v>20059</v>
      </c>
      <c r="F32" s="8"/>
      <c r="G32" s="8"/>
      <c r="H32" s="8"/>
      <c r="I32" s="8"/>
      <c r="J32" s="8"/>
      <c r="M32" s="8"/>
      <c r="O32" s="8"/>
      <c r="Q32" s="8"/>
      <c r="S32" s="8"/>
    </row>
    <row r="33" spans="1:19" x14ac:dyDescent="0.2">
      <c r="A33" s="162" t="s">
        <v>188</v>
      </c>
      <c r="B33" s="153">
        <v>35818</v>
      </c>
      <c r="C33" s="153">
        <v>17474</v>
      </c>
      <c r="D33" s="153">
        <v>19307</v>
      </c>
      <c r="E33" s="153">
        <v>15176</v>
      </c>
      <c r="F33" s="8"/>
      <c r="G33" s="8"/>
      <c r="H33" s="8"/>
      <c r="I33" s="8"/>
      <c r="J33" s="8"/>
      <c r="M33" s="8"/>
      <c r="O33" s="8"/>
      <c r="Q33" s="8"/>
      <c r="S33" s="8"/>
    </row>
    <row r="34" spans="1:19" x14ac:dyDescent="0.2">
      <c r="A34" s="162" t="s">
        <v>2</v>
      </c>
      <c r="B34" s="153">
        <f>SUBTOTAL(109,Tab_En_El_prod[2022])</f>
        <v>554610.80000000005</v>
      </c>
      <c r="C34" s="153">
        <f>SUBTOTAL(109,Tab_En_El_prod[2023])</f>
        <v>511838.4</v>
      </c>
      <c r="D34" s="153">
        <f>SUBTOTAL(109,Tab_En_El_prod[2024])</f>
        <v>466983</v>
      </c>
      <c r="E34" s="153">
        <f>SUBTOTAL(109,Tab_En_El_prod[2025])</f>
        <v>432450.6</v>
      </c>
      <c r="F34" s="8"/>
      <c r="G34" s="8"/>
      <c r="H34" s="8"/>
      <c r="I34" s="8"/>
      <c r="J34" s="8"/>
      <c r="M34" s="8"/>
      <c r="O34" s="8"/>
      <c r="Q34" s="8"/>
      <c r="S34" s="8"/>
    </row>
    <row r="35" spans="1:19" x14ac:dyDescent="0.2">
      <c r="B35" s="1"/>
      <c r="C35" s="1"/>
      <c r="D35" s="1"/>
      <c r="E35" s="1"/>
      <c r="F35" s="1"/>
      <c r="G35" s="1"/>
      <c r="H35" s="1"/>
      <c r="I35" s="1"/>
      <c r="J35" s="8"/>
      <c r="M35" s="8"/>
      <c r="O35" s="8"/>
      <c r="Q35" s="8"/>
      <c r="S35" s="8"/>
    </row>
    <row r="36" spans="1:19" x14ac:dyDescent="0.2">
      <c r="B36" s="1"/>
      <c r="C36" s="1"/>
      <c r="D36" s="1"/>
      <c r="E36" s="1"/>
      <c r="F36" s="1"/>
      <c r="G36" s="1"/>
      <c r="H36" s="1"/>
      <c r="I36" s="1"/>
      <c r="J36" s="8"/>
      <c r="M36" s="8"/>
      <c r="O36" s="8"/>
      <c r="Q36" s="8"/>
      <c r="S36" s="8"/>
    </row>
    <row r="37" spans="1:19" ht="15" x14ac:dyDescent="0.25">
      <c r="A37" s="161" t="s">
        <v>234</v>
      </c>
      <c r="B37" s="162"/>
      <c r="C37" s="162"/>
      <c r="D37" s="162"/>
      <c r="E37" s="162"/>
      <c r="F37" s="153"/>
      <c r="G37" s="153"/>
      <c r="H37" s="162"/>
      <c r="I37" s="162"/>
      <c r="J37" s="162"/>
      <c r="K37" s="162"/>
      <c r="M37" s="8"/>
      <c r="O37" s="8"/>
      <c r="Q37" s="8"/>
      <c r="S37" s="8"/>
    </row>
    <row r="38" spans="1:19" x14ac:dyDescent="0.2">
      <c r="A38" s="10" t="s">
        <v>232</v>
      </c>
      <c r="B38" s="162" t="s">
        <v>169</v>
      </c>
      <c r="C38" s="162" t="s">
        <v>192</v>
      </c>
      <c r="D38" s="162" t="s">
        <v>204</v>
      </c>
      <c r="E38" s="162" t="s">
        <v>207</v>
      </c>
      <c r="F38" s="8"/>
      <c r="G38" s="8"/>
      <c r="H38" s="8"/>
      <c r="I38" s="8"/>
      <c r="J38" s="8"/>
      <c r="M38" s="8"/>
      <c r="O38" s="8"/>
      <c r="Q38" s="8"/>
      <c r="S38" s="8"/>
    </row>
    <row r="39" spans="1:19" x14ac:dyDescent="0.2">
      <c r="A39" s="162" t="s">
        <v>219</v>
      </c>
      <c r="B39" s="153">
        <v>2106</v>
      </c>
      <c r="C39" s="153">
        <v>225</v>
      </c>
      <c r="D39" s="153">
        <v>219</v>
      </c>
      <c r="E39" s="153">
        <v>87</v>
      </c>
      <c r="F39" s="8"/>
      <c r="G39" s="8"/>
      <c r="H39" s="8"/>
      <c r="I39" s="8"/>
      <c r="J39" s="8"/>
      <c r="M39" s="8"/>
      <c r="O39" s="8"/>
      <c r="Q39" s="8"/>
      <c r="S39" s="8"/>
    </row>
    <row r="40" spans="1:19" x14ac:dyDescent="0.2">
      <c r="A40" s="162" t="s">
        <v>220</v>
      </c>
      <c r="B40" s="153">
        <v>1446</v>
      </c>
      <c r="C40" s="153">
        <v>351</v>
      </c>
      <c r="D40" s="153">
        <v>282</v>
      </c>
      <c r="E40" s="153">
        <v>222</v>
      </c>
      <c r="F40" s="8"/>
      <c r="G40" s="8"/>
      <c r="H40" s="8"/>
      <c r="I40" s="8"/>
      <c r="J40" s="8"/>
      <c r="M40" s="8"/>
      <c r="O40" s="8"/>
      <c r="Q40" s="8"/>
      <c r="S40" s="8"/>
    </row>
    <row r="41" spans="1:19" x14ac:dyDescent="0.2">
      <c r="A41" s="162" t="s">
        <v>221</v>
      </c>
      <c r="B41" s="153">
        <v>1326</v>
      </c>
      <c r="C41" s="153">
        <v>594</v>
      </c>
      <c r="D41" s="153">
        <v>783</v>
      </c>
      <c r="E41" s="153">
        <v>666</v>
      </c>
      <c r="F41" s="8"/>
      <c r="G41" s="8"/>
      <c r="H41" s="8"/>
      <c r="I41" s="8"/>
      <c r="J41" s="8"/>
      <c r="M41" s="8"/>
      <c r="O41" s="8"/>
      <c r="Q41" s="8"/>
      <c r="S41" s="8"/>
    </row>
    <row r="42" spans="1:19" x14ac:dyDescent="0.2">
      <c r="A42" s="162" t="s">
        <v>222</v>
      </c>
      <c r="B42" s="153">
        <v>5712</v>
      </c>
      <c r="C42" s="153">
        <v>1962</v>
      </c>
      <c r="D42" s="153">
        <v>1131</v>
      </c>
      <c r="E42" s="153">
        <v>1413</v>
      </c>
      <c r="F42" s="8"/>
      <c r="G42" s="8"/>
      <c r="H42" s="8"/>
      <c r="I42" s="8"/>
      <c r="J42" s="8"/>
      <c r="M42" s="8"/>
      <c r="O42" s="8"/>
      <c r="Q42" s="8"/>
      <c r="S42" s="8"/>
    </row>
    <row r="43" spans="1:19" x14ac:dyDescent="0.2">
      <c r="A43" s="162" t="s">
        <v>223</v>
      </c>
      <c r="B43" s="153">
        <v>1599</v>
      </c>
      <c r="C43" s="153">
        <v>648</v>
      </c>
      <c r="D43" s="153">
        <v>1473</v>
      </c>
      <c r="E43" s="153">
        <v>1665</v>
      </c>
      <c r="F43" s="8"/>
      <c r="G43" s="8"/>
      <c r="H43" s="8"/>
      <c r="I43" s="8"/>
      <c r="J43" s="8"/>
      <c r="M43" s="8"/>
      <c r="O43" s="8"/>
      <c r="Q43" s="8"/>
      <c r="S43" s="8"/>
    </row>
    <row r="44" spans="1:19" x14ac:dyDescent="0.2">
      <c r="A44" s="162" t="s">
        <v>224</v>
      </c>
      <c r="B44" s="153">
        <v>1410</v>
      </c>
      <c r="C44" s="153">
        <v>1485</v>
      </c>
      <c r="D44" s="153">
        <v>1407</v>
      </c>
      <c r="E44" s="153">
        <v>1269</v>
      </c>
      <c r="F44" s="8"/>
      <c r="G44" s="8"/>
      <c r="H44" s="8"/>
      <c r="I44" s="8"/>
      <c r="J44" s="8"/>
      <c r="M44" s="8"/>
      <c r="O44" s="8"/>
      <c r="Q44" s="8"/>
      <c r="S44" s="8"/>
    </row>
    <row r="45" spans="1:19" x14ac:dyDescent="0.2">
      <c r="A45" s="162" t="s">
        <v>225</v>
      </c>
      <c r="B45" s="153">
        <v>1737</v>
      </c>
      <c r="C45" s="153">
        <v>2640</v>
      </c>
      <c r="D45" s="153">
        <v>1506</v>
      </c>
      <c r="E45" s="153">
        <v>834</v>
      </c>
      <c r="F45" s="8"/>
      <c r="G45" s="8"/>
      <c r="H45" s="8"/>
      <c r="I45" s="8"/>
      <c r="J45" s="8"/>
      <c r="M45" s="8"/>
      <c r="O45" s="8"/>
      <c r="Q45" s="8"/>
      <c r="S45" s="8"/>
    </row>
    <row r="46" spans="1:19" x14ac:dyDescent="0.2">
      <c r="A46" s="162" t="s">
        <v>226</v>
      </c>
      <c r="B46" s="153">
        <v>6837</v>
      </c>
      <c r="C46" s="153">
        <v>6081</v>
      </c>
      <c r="D46" s="153">
        <v>5241</v>
      </c>
      <c r="E46" s="153">
        <v>4926</v>
      </c>
      <c r="F46" s="8"/>
      <c r="G46" s="8"/>
      <c r="H46" s="8"/>
      <c r="I46" s="8"/>
      <c r="J46" s="8"/>
      <c r="M46" s="8"/>
      <c r="O46" s="8"/>
      <c r="Q46" s="8"/>
      <c r="S46" s="8"/>
    </row>
    <row r="47" spans="1:19" x14ac:dyDescent="0.2">
      <c r="A47" s="162" t="s">
        <v>185</v>
      </c>
      <c r="B47" s="153">
        <v>1068</v>
      </c>
      <c r="C47" s="153">
        <v>1350</v>
      </c>
      <c r="D47" s="153">
        <v>759</v>
      </c>
      <c r="E47" s="153">
        <v>1101</v>
      </c>
      <c r="F47" s="8"/>
      <c r="G47" s="8"/>
      <c r="H47" s="8"/>
      <c r="I47" s="8"/>
      <c r="J47" s="8"/>
      <c r="M47" s="8"/>
      <c r="O47" s="8"/>
      <c r="Q47" s="8"/>
      <c r="S47" s="8"/>
    </row>
    <row r="48" spans="1:19" x14ac:dyDescent="0.2">
      <c r="A48" s="162" t="s">
        <v>186</v>
      </c>
      <c r="B48" s="153">
        <v>525</v>
      </c>
      <c r="C48" s="153">
        <v>6022</v>
      </c>
      <c r="D48" s="153">
        <v>384</v>
      </c>
      <c r="E48" s="153">
        <v>618</v>
      </c>
      <c r="F48" s="8"/>
      <c r="G48" s="8"/>
      <c r="H48" s="8"/>
      <c r="I48" s="8"/>
      <c r="J48" s="8"/>
      <c r="M48" s="8"/>
      <c r="O48" s="8"/>
      <c r="Q48" s="8"/>
      <c r="S48" s="8"/>
    </row>
    <row r="49" spans="1:19" x14ac:dyDescent="0.2">
      <c r="A49" s="162" t="s">
        <v>187</v>
      </c>
      <c r="B49" s="153">
        <v>249</v>
      </c>
      <c r="C49" s="153">
        <v>582</v>
      </c>
      <c r="D49" s="153">
        <v>264</v>
      </c>
      <c r="E49" s="153">
        <v>204</v>
      </c>
      <c r="F49" s="8"/>
      <c r="G49" s="8"/>
      <c r="H49" s="8"/>
      <c r="I49" s="8"/>
      <c r="J49" s="8"/>
      <c r="M49" s="8"/>
      <c r="O49" s="8"/>
      <c r="Q49" s="8"/>
      <c r="S49" s="8"/>
    </row>
    <row r="50" spans="1:19" x14ac:dyDescent="0.2">
      <c r="A50" s="162" t="s">
        <v>188</v>
      </c>
      <c r="B50" s="153">
        <v>123</v>
      </c>
      <c r="C50" s="153">
        <v>300</v>
      </c>
      <c r="D50" s="153">
        <v>681</v>
      </c>
      <c r="E50" s="153">
        <v>669</v>
      </c>
      <c r="F50" s="8"/>
      <c r="G50" s="8"/>
      <c r="H50" s="8"/>
      <c r="I50" s="8"/>
      <c r="J50" s="8"/>
      <c r="M50" s="8"/>
      <c r="O50" s="8"/>
      <c r="Q50" s="8"/>
      <c r="S50" s="8"/>
    </row>
    <row r="51" spans="1:19" x14ac:dyDescent="0.2">
      <c r="A51" s="162" t="s">
        <v>2</v>
      </c>
      <c r="B51" s="153">
        <f>SUBTOTAL(109,Tab_En_El_vend[2022])</f>
        <v>24138</v>
      </c>
      <c r="C51" s="153">
        <f>SUBTOTAL(109,Tab_En_El_vend[2023])</f>
        <v>22240</v>
      </c>
      <c r="D51" s="153">
        <f>SUBTOTAL(109,Tab_En_El_vend[2024])</f>
        <v>14130</v>
      </c>
      <c r="E51" s="153">
        <f>SUBTOTAL(109,Tab_En_El_vend[2025])</f>
        <v>13674</v>
      </c>
      <c r="F51" s="8"/>
      <c r="G51" s="8"/>
      <c r="H51" s="8"/>
      <c r="I51" s="8"/>
      <c r="J51" s="8"/>
      <c r="M51" s="8"/>
      <c r="O51" s="8"/>
      <c r="Q51" s="8"/>
      <c r="S51" s="8"/>
    </row>
    <row r="52" spans="1:19" x14ac:dyDescent="0.2">
      <c r="B52" s="1"/>
      <c r="C52" s="1"/>
      <c r="D52" s="1"/>
      <c r="E52" s="1"/>
      <c r="F52" s="1"/>
      <c r="G52" s="1"/>
      <c r="H52" s="1"/>
      <c r="I52" s="1"/>
      <c r="J52" s="8"/>
      <c r="M52" s="8"/>
      <c r="O52" s="8"/>
      <c r="Q52" s="8"/>
      <c r="S52" s="8"/>
    </row>
    <row r="53" spans="1:19" x14ac:dyDescent="0.2">
      <c r="B53" s="1"/>
      <c r="C53" s="1"/>
      <c r="D53" s="1"/>
      <c r="E53" s="1"/>
      <c r="F53" s="1"/>
      <c r="G53" s="1"/>
      <c r="H53" s="1"/>
      <c r="I53" s="1"/>
      <c r="J53" s="8"/>
      <c r="M53" s="8"/>
      <c r="O53" s="8"/>
      <c r="Q53" s="8"/>
      <c r="S53" s="8"/>
    </row>
    <row r="54" spans="1:19" ht="15" x14ac:dyDescent="0.25">
      <c r="A54" s="161" t="s">
        <v>235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M54" s="8"/>
      <c r="O54" s="8"/>
      <c r="Q54" s="8"/>
      <c r="S54" s="8"/>
    </row>
    <row r="55" spans="1:19" x14ac:dyDescent="0.2">
      <c r="A55" s="10" t="s">
        <v>232</v>
      </c>
      <c r="B55" s="162" t="s">
        <v>169</v>
      </c>
      <c r="C55" s="162" t="s">
        <v>192</v>
      </c>
      <c r="D55" s="162" t="s">
        <v>204</v>
      </c>
      <c r="E55" s="162" t="s">
        <v>207</v>
      </c>
      <c r="F55" s="8"/>
      <c r="G55" s="8"/>
      <c r="H55" s="8"/>
      <c r="I55" s="8"/>
      <c r="J55" s="8"/>
      <c r="M55" s="8"/>
      <c r="O55" s="8"/>
      <c r="Q55" s="8"/>
      <c r="S55" s="8"/>
    </row>
    <row r="56" spans="1:19" x14ac:dyDescent="0.2">
      <c r="A56" s="162" t="s">
        <v>219</v>
      </c>
      <c r="B56" s="153">
        <v>326680</v>
      </c>
      <c r="C56" s="153">
        <v>230608</v>
      </c>
      <c r="D56" s="153">
        <v>335916</v>
      </c>
      <c r="E56" s="153">
        <v>350580</v>
      </c>
      <c r="F56" s="8"/>
      <c r="G56" s="8"/>
      <c r="H56" s="8"/>
      <c r="I56" s="8"/>
      <c r="J56" s="8"/>
      <c r="M56" s="8"/>
      <c r="O56" s="8"/>
      <c r="Q56" s="8"/>
      <c r="S56" s="8"/>
    </row>
    <row r="57" spans="1:19" x14ac:dyDescent="0.2">
      <c r="A57" s="162" t="s">
        <v>220</v>
      </c>
      <c r="B57" s="153">
        <v>428428</v>
      </c>
      <c r="C57" s="153">
        <v>404384</v>
      </c>
      <c r="D57" s="153">
        <v>439376</v>
      </c>
      <c r="E57" s="153">
        <v>372164</v>
      </c>
      <c r="F57" s="8"/>
      <c r="G57" s="8"/>
      <c r="H57" s="8"/>
      <c r="I57" s="8"/>
      <c r="J57" s="8"/>
      <c r="M57" s="8"/>
      <c r="O57" s="8"/>
      <c r="Q57" s="8"/>
      <c r="S57" s="8"/>
    </row>
    <row r="58" spans="1:19" x14ac:dyDescent="0.2">
      <c r="A58" s="162" t="s">
        <v>221</v>
      </c>
      <c r="B58" s="153">
        <v>466276</v>
      </c>
      <c r="C58" s="153">
        <v>497792</v>
      </c>
      <c r="D58" s="153">
        <v>453520</v>
      </c>
      <c r="E58" s="153">
        <v>456228</v>
      </c>
      <c r="F58" s="8"/>
      <c r="G58" s="8"/>
      <c r="H58" s="8"/>
      <c r="I58" s="8"/>
      <c r="J58" s="8"/>
      <c r="M58" s="8"/>
      <c r="O58" s="8"/>
      <c r="Q58" s="8"/>
      <c r="S58" s="8"/>
    </row>
    <row r="59" spans="1:19" x14ac:dyDescent="0.2">
      <c r="A59" s="162" t="s">
        <v>222</v>
      </c>
      <c r="B59" s="153">
        <v>385928</v>
      </c>
      <c r="C59" s="153">
        <v>368656</v>
      </c>
      <c r="D59" s="153">
        <v>401496</v>
      </c>
      <c r="E59" s="153">
        <v>386252</v>
      </c>
      <c r="F59" s="8"/>
      <c r="G59" s="8"/>
      <c r="H59" s="8"/>
      <c r="I59" s="8"/>
      <c r="J59" s="8"/>
      <c r="M59" s="8"/>
      <c r="O59" s="8"/>
      <c r="Q59" s="8"/>
      <c r="S59" s="8"/>
    </row>
    <row r="60" spans="1:19" x14ac:dyDescent="0.2">
      <c r="A60" s="162" t="s">
        <v>223</v>
      </c>
      <c r="B60" s="153">
        <v>428000</v>
      </c>
      <c r="C60" s="153">
        <v>499052</v>
      </c>
      <c r="D60" s="153">
        <v>481540</v>
      </c>
      <c r="E60" s="153">
        <v>401524</v>
      </c>
      <c r="F60" s="8"/>
      <c r="G60" s="8"/>
      <c r="H60" s="8"/>
      <c r="I60" s="8"/>
      <c r="J60" s="8"/>
      <c r="M60" s="8"/>
      <c r="O60" s="8"/>
      <c r="Q60" s="8"/>
      <c r="S60" s="8"/>
    </row>
    <row r="61" spans="1:19" x14ac:dyDescent="0.2">
      <c r="A61" s="162" t="s">
        <v>224</v>
      </c>
      <c r="B61" s="153">
        <v>383964</v>
      </c>
      <c r="C61" s="153">
        <v>409196</v>
      </c>
      <c r="D61" s="153">
        <v>423020</v>
      </c>
      <c r="E61" s="153">
        <v>361680</v>
      </c>
      <c r="F61" s="8"/>
      <c r="G61" s="8"/>
      <c r="H61" s="8"/>
      <c r="I61" s="8"/>
      <c r="J61" s="8"/>
      <c r="M61" s="8"/>
      <c r="O61" s="8"/>
      <c r="Q61" s="8"/>
      <c r="S61" s="8"/>
    </row>
    <row r="62" spans="1:19" x14ac:dyDescent="0.2">
      <c r="A62" s="162" t="s">
        <v>225</v>
      </c>
      <c r="B62" s="153">
        <v>355512</v>
      </c>
      <c r="C62" s="153">
        <v>403924</v>
      </c>
      <c r="D62" s="153">
        <v>373884</v>
      </c>
      <c r="E62" s="153">
        <v>453824</v>
      </c>
      <c r="F62" s="8"/>
      <c r="G62" s="8"/>
      <c r="H62" s="8"/>
      <c r="I62" s="8"/>
      <c r="J62" s="8"/>
      <c r="M62" s="8"/>
      <c r="O62" s="8"/>
      <c r="Q62" s="8"/>
      <c r="S62" s="8"/>
    </row>
    <row r="63" spans="1:19" x14ac:dyDescent="0.2">
      <c r="A63" s="162" t="s">
        <v>226</v>
      </c>
      <c r="B63" s="153">
        <v>1728</v>
      </c>
      <c r="C63" s="153">
        <v>44408</v>
      </c>
      <c r="D63" s="153">
        <v>3696</v>
      </c>
      <c r="E63" s="153">
        <v>1608</v>
      </c>
      <c r="F63" s="8"/>
      <c r="G63" s="8"/>
      <c r="H63" s="8"/>
      <c r="I63" s="8"/>
      <c r="J63" s="8"/>
      <c r="M63" s="8"/>
      <c r="O63" s="8"/>
      <c r="Q63" s="8"/>
      <c r="S63" s="8"/>
    </row>
    <row r="64" spans="1:19" x14ac:dyDescent="0.2">
      <c r="A64" s="162" t="s">
        <v>185</v>
      </c>
      <c r="B64" s="153">
        <v>352148</v>
      </c>
      <c r="C64" s="153">
        <v>433156</v>
      </c>
      <c r="D64" s="153">
        <v>352620</v>
      </c>
      <c r="E64" s="153">
        <v>421684</v>
      </c>
      <c r="F64" s="8"/>
      <c r="G64" s="8"/>
      <c r="H64" s="8"/>
      <c r="I64" s="8"/>
      <c r="J64" s="8"/>
      <c r="M64" s="8"/>
      <c r="O64" s="8"/>
      <c r="Q64" s="8"/>
      <c r="S64" s="8"/>
    </row>
    <row r="65" spans="1:19" x14ac:dyDescent="0.2">
      <c r="A65" s="162" t="s">
        <v>186</v>
      </c>
      <c r="B65" s="153">
        <v>0</v>
      </c>
      <c r="C65" s="153">
        <v>441624</v>
      </c>
      <c r="D65" s="153">
        <v>406616</v>
      </c>
      <c r="E65" s="153">
        <v>427280</v>
      </c>
      <c r="F65" s="8"/>
      <c r="G65" s="8"/>
      <c r="H65" s="8"/>
      <c r="I65" s="8"/>
      <c r="J65" s="8"/>
      <c r="M65" s="8"/>
      <c r="O65" s="8"/>
      <c r="Q65" s="8"/>
      <c r="S65" s="8"/>
    </row>
    <row r="66" spans="1:19" x14ac:dyDescent="0.2">
      <c r="A66" s="162" t="s">
        <v>187</v>
      </c>
      <c r="B66" s="153">
        <v>0</v>
      </c>
      <c r="C66" s="153">
        <v>380058</v>
      </c>
      <c r="D66" s="153">
        <v>380588</v>
      </c>
      <c r="E66" s="153">
        <v>186576</v>
      </c>
      <c r="F66" s="8"/>
      <c r="G66" s="8"/>
      <c r="H66" s="8"/>
      <c r="I66" s="8"/>
      <c r="J66" s="8"/>
      <c r="M66" s="8"/>
      <c r="O66" s="8"/>
      <c r="Q66" s="8"/>
      <c r="S66" s="8"/>
    </row>
    <row r="67" spans="1:19" x14ac:dyDescent="0.2">
      <c r="A67" s="162" t="s">
        <v>188</v>
      </c>
      <c r="B67" s="153">
        <v>0</v>
      </c>
      <c r="C67" s="153">
        <v>293580</v>
      </c>
      <c r="D67" s="153">
        <v>280708</v>
      </c>
      <c r="E67" s="153">
        <v>160820</v>
      </c>
      <c r="F67" s="8"/>
      <c r="G67" s="8"/>
      <c r="H67" s="8"/>
      <c r="I67" s="8"/>
      <c r="J67" s="8"/>
      <c r="M67" s="8"/>
      <c r="O67" s="8"/>
      <c r="Q67" s="8"/>
      <c r="S67" s="8"/>
    </row>
    <row r="68" spans="1:19" x14ac:dyDescent="0.2">
      <c r="A68" s="162" t="s">
        <v>2</v>
      </c>
      <c r="B68" s="153">
        <f>SUBTOTAL(109,Tab_En_El_cog[2022])</f>
        <v>3128664</v>
      </c>
      <c r="C68" s="153">
        <f>SUBTOTAL(109,Tab_En_El_cog[2023])</f>
        <v>4406438</v>
      </c>
      <c r="D68" s="153">
        <f>SUBTOTAL(109,Tab_En_El_cog[2024])</f>
        <v>4332980</v>
      </c>
      <c r="E68" s="153">
        <f>SUBTOTAL(109,Tab_En_El_cog[2025])</f>
        <v>3980220</v>
      </c>
      <c r="F68" s="8"/>
      <c r="G68" s="8"/>
      <c r="H68" s="8"/>
      <c r="I68" s="8"/>
      <c r="J68" s="8"/>
      <c r="M68" s="8"/>
      <c r="O68" s="8"/>
      <c r="Q68" s="8"/>
      <c r="S68" s="8"/>
    </row>
    <row r="69" spans="1:19" x14ac:dyDescent="0.2">
      <c r="B69" s="1"/>
      <c r="C69" s="1"/>
      <c r="D69" s="1"/>
      <c r="E69" s="1"/>
      <c r="F69" s="1"/>
      <c r="G69" s="1"/>
      <c r="H69" s="1"/>
      <c r="I69" s="1"/>
      <c r="J69" s="8"/>
      <c r="M69" s="8"/>
      <c r="O69" s="8"/>
      <c r="Q69" s="8"/>
      <c r="S69" s="8"/>
    </row>
    <row r="70" spans="1:19" x14ac:dyDescent="0.2">
      <c r="B70" s="1"/>
      <c r="C70" s="1"/>
      <c r="D70" s="1"/>
      <c r="E70" s="1"/>
      <c r="F70" s="1"/>
      <c r="G70" s="1"/>
      <c r="H70" s="1"/>
      <c r="I70" s="1"/>
      <c r="J70" s="8"/>
      <c r="M70" s="8"/>
      <c r="O70" s="8"/>
      <c r="Q70" s="8"/>
      <c r="S70" s="8"/>
    </row>
    <row r="71" spans="1:19" ht="15" x14ac:dyDescent="0.25">
      <c r="A71" s="161" t="s">
        <v>236</v>
      </c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M71" s="8"/>
      <c r="O71" s="8"/>
      <c r="Q71" s="8"/>
      <c r="S71" s="8"/>
    </row>
    <row r="72" spans="1:19" x14ac:dyDescent="0.2">
      <c r="A72" s="10" t="s">
        <v>232</v>
      </c>
      <c r="B72" s="162" t="s">
        <v>169</v>
      </c>
      <c r="C72" s="162" t="s">
        <v>192</v>
      </c>
      <c r="D72" s="162" t="s">
        <v>204</v>
      </c>
      <c r="E72" s="162" t="s">
        <v>207</v>
      </c>
      <c r="F72" s="8"/>
      <c r="G72" s="8"/>
      <c r="H72" s="8"/>
      <c r="I72" s="8"/>
      <c r="J72" s="8"/>
      <c r="M72" s="8"/>
      <c r="O72" s="8"/>
      <c r="Q72" s="8"/>
      <c r="S72" s="8"/>
    </row>
    <row r="73" spans="1:19" x14ac:dyDescent="0.2">
      <c r="A73" s="162" t="s">
        <v>219</v>
      </c>
      <c r="B73" s="153">
        <f>B5+B22-B39+B56</f>
        <v>564752</v>
      </c>
      <c r="C73" s="153">
        <f>C5+C22-C39+C56</f>
        <v>628062</v>
      </c>
      <c r="D73" s="153">
        <f t="shared" ref="D73:E73" si="0">D5+D22-D39+D56</f>
        <v>656779</v>
      </c>
      <c r="E73" s="153">
        <f t="shared" si="0"/>
        <v>641782</v>
      </c>
      <c r="F73" s="8"/>
      <c r="G73" s="8"/>
      <c r="H73" s="8"/>
      <c r="I73" s="8"/>
      <c r="J73" s="8"/>
      <c r="M73" s="8"/>
      <c r="O73" s="8"/>
      <c r="Q73" s="8"/>
      <c r="S73" s="8"/>
    </row>
    <row r="74" spans="1:19" x14ac:dyDescent="0.2">
      <c r="A74" s="162" t="s">
        <v>220</v>
      </c>
      <c r="B74" s="153">
        <f>B6+B23-B40+B57</f>
        <v>778073</v>
      </c>
      <c r="C74" s="153">
        <f t="shared" ref="C74:E84" si="1">C6+C23-C40+C57</f>
        <v>762905</v>
      </c>
      <c r="D74" s="153">
        <f t="shared" si="1"/>
        <v>730216</v>
      </c>
      <c r="E74" s="153">
        <f t="shared" si="1"/>
        <v>741888</v>
      </c>
      <c r="F74" s="8"/>
      <c r="G74" s="8"/>
      <c r="H74" s="8"/>
      <c r="I74" s="8"/>
      <c r="J74" s="8"/>
      <c r="M74" s="8"/>
      <c r="O74" s="8"/>
      <c r="Q74" s="8"/>
      <c r="S74" s="8"/>
    </row>
    <row r="75" spans="1:19" x14ac:dyDescent="0.2">
      <c r="A75" s="162" t="s">
        <v>221</v>
      </c>
      <c r="B75" s="153">
        <f t="shared" ref="B75:B84" si="2">B7+B24-B41+B58</f>
        <v>861529</v>
      </c>
      <c r="C75" s="153">
        <f t="shared" si="1"/>
        <v>862461</v>
      </c>
      <c r="D75" s="153">
        <f t="shared" si="1"/>
        <v>764273</v>
      </c>
      <c r="E75" s="153">
        <f t="shared" si="1"/>
        <v>806322</v>
      </c>
      <c r="F75" s="8"/>
      <c r="G75" s="8"/>
      <c r="H75" s="8"/>
      <c r="I75" s="8"/>
      <c r="J75" s="8"/>
      <c r="M75" s="8"/>
      <c r="O75" s="8"/>
      <c r="Q75" s="8"/>
      <c r="S75" s="8"/>
    </row>
    <row r="76" spans="1:19" x14ac:dyDescent="0.2">
      <c r="A76" s="162" t="s">
        <v>222</v>
      </c>
      <c r="B76" s="153">
        <f t="shared" si="2"/>
        <v>742859</v>
      </c>
      <c r="C76" s="153">
        <f t="shared" si="1"/>
        <v>677106.4</v>
      </c>
      <c r="D76" s="153">
        <f t="shared" si="1"/>
        <v>710115</v>
      </c>
      <c r="E76" s="153">
        <f t="shared" si="1"/>
        <v>745568</v>
      </c>
      <c r="F76" s="8"/>
      <c r="G76" s="8"/>
      <c r="H76" s="8"/>
      <c r="I76" s="8"/>
      <c r="J76" s="8"/>
      <c r="M76" s="8"/>
      <c r="O76" s="8"/>
      <c r="Q76" s="8"/>
      <c r="S76" s="8"/>
    </row>
    <row r="77" spans="1:19" x14ac:dyDescent="0.2">
      <c r="A77" s="162" t="s">
        <v>223</v>
      </c>
      <c r="B77" s="153">
        <f t="shared" si="2"/>
        <v>821594.2</v>
      </c>
      <c r="C77" s="153">
        <f t="shared" si="1"/>
        <v>840421</v>
      </c>
      <c r="D77" s="153">
        <f t="shared" si="1"/>
        <v>799763</v>
      </c>
      <c r="E77" s="153">
        <f t="shared" si="1"/>
        <v>736553</v>
      </c>
      <c r="F77" s="8"/>
      <c r="G77" s="8"/>
      <c r="H77" s="8"/>
      <c r="I77" s="8"/>
      <c r="J77" s="8"/>
      <c r="M77" s="8"/>
      <c r="O77" s="8"/>
      <c r="Q77" s="8"/>
      <c r="S77" s="8"/>
    </row>
    <row r="78" spans="1:19" x14ac:dyDescent="0.2">
      <c r="A78" s="162" t="s">
        <v>224</v>
      </c>
      <c r="B78" s="153">
        <f t="shared" si="2"/>
        <v>791203.6</v>
      </c>
      <c r="C78" s="153">
        <f t="shared" si="1"/>
        <v>748732</v>
      </c>
      <c r="D78" s="153">
        <f t="shared" si="1"/>
        <v>707984</v>
      </c>
      <c r="E78" s="153">
        <f t="shared" si="1"/>
        <v>701589.6</v>
      </c>
      <c r="F78" s="8"/>
      <c r="G78" s="8"/>
      <c r="H78" s="8"/>
      <c r="I78" s="8"/>
      <c r="J78" s="8"/>
      <c r="M78" s="8"/>
      <c r="O78" s="8"/>
      <c r="Q78" s="8"/>
      <c r="S78" s="8"/>
    </row>
    <row r="79" spans="1:19" x14ac:dyDescent="0.2">
      <c r="A79" s="162" t="s">
        <v>225</v>
      </c>
      <c r="B79" s="153">
        <f t="shared" si="2"/>
        <v>769010</v>
      </c>
      <c r="C79" s="153">
        <f t="shared" si="1"/>
        <v>682400</v>
      </c>
      <c r="D79" s="153">
        <f t="shared" si="1"/>
        <v>709202</v>
      </c>
      <c r="E79" s="153">
        <f t="shared" si="1"/>
        <v>750616</v>
      </c>
      <c r="F79" s="8"/>
      <c r="G79" s="8"/>
      <c r="H79" s="8"/>
      <c r="I79" s="8"/>
      <c r="J79" s="8"/>
      <c r="M79" s="8"/>
      <c r="O79" s="8"/>
      <c r="Q79" s="8"/>
      <c r="S79" s="8"/>
    </row>
    <row r="80" spans="1:19" x14ac:dyDescent="0.2">
      <c r="A80" s="162" t="s">
        <v>226</v>
      </c>
      <c r="B80" s="153">
        <f t="shared" si="2"/>
        <v>183337</v>
      </c>
      <c r="C80" s="153">
        <f t="shared" si="1"/>
        <v>180231</v>
      </c>
      <c r="D80" s="153">
        <f t="shared" si="1"/>
        <v>117113</v>
      </c>
      <c r="E80" s="153">
        <f t="shared" si="1"/>
        <v>109226</v>
      </c>
      <c r="F80" s="8"/>
      <c r="G80" s="8"/>
      <c r="H80" s="8"/>
      <c r="I80" s="8"/>
      <c r="J80" s="8"/>
      <c r="M80" s="8"/>
      <c r="O80" s="8"/>
      <c r="Q80" s="8"/>
      <c r="S80" s="8"/>
    </row>
    <row r="81" spans="1:19" x14ac:dyDescent="0.2">
      <c r="A81" s="162" t="s">
        <v>185</v>
      </c>
      <c r="B81" s="153">
        <f t="shared" si="2"/>
        <v>774557</v>
      </c>
      <c r="C81" s="153">
        <f t="shared" si="1"/>
        <v>716561</v>
      </c>
      <c r="D81" s="153">
        <f t="shared" si="1"/>
        <v>670302</v>
      </c>
      <c r="E81" s="153">
        <f t="shared" si="1"/>
        <v>689826</v>
      </c>
      <c r="F81" s="8"/>
      <c r="G81" s="8"/>
      <c r="H81" s="8"/>
      <c r="I81" s="8"/>
      <c r="J81" s="8"/>
      <c r="M81" s="8"/>
      <c r="O81" s="8"/>
      <c r="Q81" s="8"/>
      <c r="S81" s="8"/>
    </row>
    <row r="82" spans="1:19" x14ac:dyDescent="0.2">
      <c r="A82" s="162" t="s">
        <v>186</v>
      </c>
      <c r="B82" s="153">
        <f t="shared" si="2"/>
        <v>679110</v>
      </c>
      <c r="C82" s="153">
        <f t="shared" si="1"/>
        <v>670378</v>
      </c>
      <c r="D82" s="153">
        <f t="shared" si="1"/>
        <v>786241</v>
      </c>
      <c r="E82" s="153">
        <f t="shared" si="1"/>
        <v>767278</v>
      </c>
      <c r="F82" s="8"/>
      <c r="G82" s="8"/>
      <c r="H82" s="8"/>
      <c r="I82" s="8"/>
      <c r="J82" s="8"/>
      <c r="M82" s="8"/>
      <c r="O82" s="8"/>
      <c r="Q82" s="8"/>
      <c r="S82" s="8"/>
    </row>
    <row r="83" spans="1:19" x14ac:dyDescent="0.2">
      <c r="A83" s="162" t="s">
        <v>187</v>
      </c>
      <c r="B83" s="153">
        <f t="shared" si="2"/>
        <v>813672</v>
      </c>
      <c r="C83" s="153">
        <f t="shared" si="1"/>
        <v>607920</v>
      </c>
      <c r="D83" s="153">
        <f t="shared" si="1"/>
        <v>598207</v>
      </c>
      <c r="E83" s="153">
        <f t="shared" si="1"/>
        <v>705379</v>
      </c>
      <c r="F83" s="8"/>
      <c r="G83" s="8"/>
      <c r="H83" s="8"/>
      <c r="I83" s="8"/>
      <c r="J83" s="8"/>
      <c r="M83" s="8"/>
      <c r="O83" s="8"/>
      <c r="Q83" s="8"/>
      <c r="S83" s="8"/>
    </row>
    <row r="84" spans="1:19" x14ac:dyDescent="0.2">
      <c r="A84" s="162" t="s">
        <v>188</v>
      </c>
      <c r="B84" s="153">
        <f t="shared" si="2"/>
        <v>597643</v>
      </c>
      <c r="C84" s="153">
        <f t="shared" si="1"/>
        <v>517058</v>
      </c>
      <c r="D84" s="153">
        <f t="shared" si="1"/>
        <v>470562</v>
      </c>
      <c r="E84" s="153">
        <f t="shared" si="1"/>
        <v>481591</v>
      </c>
      <c r="F84" s="8"/>
      <c r="G84" s="8"/>
      <c r="H84" s="8"/>
      <c r="I84" s="8"/>
      <c r="J84" s="8"/>
      <c r="M84" s="8"/>
      <c r="O84" s="8"/>
      <c r="Q84" s="8"/>
      <c r="S84" s="8"/>
    </row>
    <row r="85" spans="1:19" x14ac:dyDescent="0.2">
      <c r="A85" s="162" t="s">
        <v>2</v>
      </c>
      <c r="B85" s="153">
        <f>SUBTOTAL(109,Tab_En_El_cons[2022])</f>
        <v>8377339.7999999998</v>
      </c>
      <c r="C85" s="153">
        <f>SUBTOTAL(109,Tab_En_El_cons[2023])</f>
        <v>7894235.4000000004</v>
      </c>
      <c r="D85" s="153">
        <f>SUBTOTAL(109,Tab_En_El_cons[2024])</f>
        <v>7720757</v>
      </c>
      <c r="E85" s="153">
        <f>SUBTOTAL(109,Tab_En_El_cons[2025])</f>
        <v>7877618.5999999996</v>
      </c>
      <c r="F85" s="8"/>
      <c r="G85" s="8"/>
      <c r="H85" s="8"/>
      <c r="I85" s="8"/>
      <c r="J85" s="8"/>
      <c r="M85" s="8"/>
      <c r="O85" s="8"/>
      <c r="Q85" s="8"/>
      <c r="S85" s="8"/>
    </row>
    <row r="86" spans="1:19" x14ac:dyDescent="0.2">
      <c r="B86" s="1"/>
      <c r="C86" s="1"/>
      <c r="D86" s="1"/>
      <c r="E86" s="1"/>
      <c r="F86" s="1"/>
      <c r="G86" s="1"/>
      <c r="H86" s="1"/>
      <c r="I86" s="1"/>
      <c r="J86" s="8"/>
      <c r="M86" s="8"/>
      <c r="O86" s="8"/>
      <c r="Q86" s="8"/>
      <c r="S86" s="8"/>
    </row>
    <row r="87" spans="1:19" x14ac:dyDescent="0.2">
      <c r="B87" s="1"/>
      <c r="C87" s="1"/>
      <c r="D87" s="1"/>
      <c r="E87" s="1"/>
      <c r="F87" s="1"/>
      <c r="G87" s="1"/>
      <c r="H87" s="1"/>
      <c r="I87" s="1"/>
      <c r="J87" s="8"/>
      <c r="M87" s="8"/>
      <c r="O87" s="8"/>
      <c r="Q87" s="8"/>
      <c r="S87" s="8"/>
    </row>
    <row r="89" spans="1:19" x14ac:dyDescent="0.2">
      <c r="D89" s="350" t="s">
        <v>13</v>
      </c>
      <c r="E89" s="350"/>
      <c r="F89" s="350"/>
      <c r="G89" s="350"/>
      <c r="H89" s="350"/>
      <c r="I89" s="350"/>
      <c r="L89" s="351" t="s">
        <v>27</v>
      </c>
      <c r="M89" s="351"/>
      <c r="N89" s="351"/>
      <c r="O89" s="351"/>
      <c r="P89" s="351"/>
      <c r="Q89" s="351"/>
      <c r="R89" s="351"/>
      <c r="S89" s="351"/>
    </row>
    <row r="90" spans="1:19" ht="24.75" customHeight="1" x14ac:dyDescent="0.2">
      <c r="D90" s="350"/>
      <c r="E90" s="350"/>
      <c r="F90" s="350"/>
      <c r="G90" s="350"/>
      <c r="H90" s="350"/>
      <c r="I90" s="350"/>
      <c r="L90" s="352" t="s">
        <v>20</v>
      </c>
      <c r="M90" s="353"/>
      <c r="N90" s="352" t="s">
        <v>64</v>
      </c>
      <c r="O90" s="353"/>
      <c r="P90" s="350" t="s">
        <v>60</v>
      </c>
      <c r="Q90" s="350"/>
      <c r="R90" s="350" t="s">
        <v>79</v>
      </c>
      <c r="S90" s="350"/>
    </row>
    <row r="91" spans="1:19" ht="38.25" x14ac:dyDescent="0.2">
      <c r="C91" s="62" t="s">
        <v>1</v>
      </c>
      <c r="D91" s="41" t="s">
        <v>84</v>
      </c>
      <c r="E91" s="41" t="s">
        <v>85</v>
      </c>
      <c r="F91" s="41" t="s">
        <v>86</v>
      </c>
      <c r="G91" s="41" t="s">
        <v>87</v>
      </c>
      <c r="H91" s="41" t="s">
        <v>33</v>
      </c>
      <c r="I91" s="58" t="s">
        <v>34</v>
      </c>
      <c r="K91" s="8" t="s">
        <v>1</v>
      </c>
      <c r="L91" s="4" t="s">
        <v>25</v>
      </c>
      <c r="M91" s="68" t="s">
        <v>17</v>
      </c>
      <c r="N91" s="69" t="s">
        <v>129</v>
      </c>
      <c r="O91" s="68" t="s">
        <v>133</v>
      </c>
      <c r="P91" s="4" t="s">
        <v>132</v>
      </c>
      <c r="Q91" s="68" t="s">
        <v>130</v>
      </c>
      <c r="R91" s="4" t="s">
        <v>131</v>
      </c>
      <c r="S91" s="68" t="s">
        <v>134</v>
      </c>
    </row>
    <row r="92" spans="1:19" x14ac:dyDescent="0.2">
      <c r="C92" s="64">
        <v>2022</v>
      </c>
      <c r="D92" s="89">
        <f>Tab_En_El_prod[[#Totals],[2022]]</f>
        <v>554610.80000000005</v>
      </c>
      <c r="E92" s="89">
        <f>Tab_En_El_vend[[#Totals],[2022]]</f>
        <v>24138</v>
      </c>
      <c r="F92" s="89">
        <f>Tab_En_El_cog[[#Totals],[2022]]</f>
        <v>3128664</v>
      </c>
      <c r="G92" s="89">
        <v>0</v>
      </c>
      <c r="H92" s="89">
        <f>Tab_En_El_acq[[#Totals],[2022]]</f>
        <v>4718203</v>
      </c>
      <c r="I92" s="90">
        <f>Tabella12[[#This Row],[Prodotta fotovoltaico
'[kWh']]]-Tabella12[[#This Row],[Venduta fotovoltaico
'[kWh']]]+Tabella12[[#This Row],[Prodotta cogenerazione
'[kWh']]]-Tabella12[[#This Row],[Venduta cogenerazione
'[kWh']]]+Tabella12[[#This Row],[Acquistata
'[kWh']]]</f>
        <v>8377339.7999999998</v>
      </c>
      <c r="K92" s="50">
        <v>2022</v>
      </c>
      <c r="L92" s="94">
        <v>0.2</v>
      </c>
      <c r="M92" s="91">
        <f>$I92*L92</f>
        <v>1675467.96</v>
      </c>
      <c r="N92" s="94">
        <v>0.3</v>
      </c>
      <c r="O92" s="91">
        <f>$I92*N92</f>
        <v>2513201.94</v>
      </c>
      <c r="P92" s="94">
        <v>0.35</v>
      </c>
      <c r="Q92" s="91">
        <f>$I92*P92</f>
        <v>2932068.9299999997</v>
      </c>
      <c r="R92" s="92">
        <f>1-L92-N92-P92</f>
        <v>0.15000000000000002</v>
      </c>
      <c r="S92" s="93">
        <f>$I92*R92</f>
        <v>1256600.9700000002</v>
      </c>
    </row>
    <row r="93" spans="1:19" x14ac:dyDescent="0.2">
      <c r="C93" s="131">
        <v>2023</v>
      </c>
      <c r="D93" s="56">
        <f>Tab_En_El_prod[[#Totals],[2023]]</f>
        <v>511838.4</v>
      </c>
      <c r="E93" s="89">
        <f>Tab_En_El_vend[[#Totals],[2023]]</f>
        <v>22240</v>
      </c>
      <c r="F93" s="89">
        <f>Tab_En_El_cog[[#Totals],[2023]]</f>
        <v>4406438</v>
      </c>
      <c r="G93" s="56">
        <v>0</v>
      </c>
      <c r="H93" s="89">
        <f>Tab_En_El_acq[[#Totals],[2023]]</f>
        <v>2998199</v>
      </c>
      <c r="I93" s="57">
        <v>7894235</v>
      </c>
      <c r="K93" s="132">
        <v>2023</v>
      </c>
      <c r="L93" s="133">
        <v>0.2</v>
      </c>
      <c r="M93" s="65">
        <f>$I93*L93</f>
        <v>1578847</v>
      </c>
      <c r="N93" s="133">
        <v>0.3</v>
      </c>
      <c r="O93" s="65">
        <f>$I93*N93</f>
        <v>2368270.5</v>
      </c>
      <c r="P93" s="133">
        <v>0.35</v>
      </c>
      <c r="Q93" s="65">
        <f>$I93*P93</f>
        <v>2762982.25</v>
      </c>
      <c r="R93" s="66">
        <f>1-L93-N93-P93</f>
        <v>0.15000000000000002</v>
      </c>
      <c r="S93" s="67">
        <f>$I93*R93</f>
        <v>1184135.2500000002</v>
      </c>
    </row>
    <row r="94" spans="1:19" x14ac:dyDescent="0.2">
      <c r="C94" s="64">
        <v>2024</v>
      </c>
      <c r="D94" s="89">
        <f>Tab_En_El_prod[[#Totals],[2024]]</f>
        <v>466983</v>
      </c>
      <c r="E94" s="89">
        <f>Tab_En_El_vend[[#Totals],[2024]]</f>
        <v>14130</v>
      </c>
      <c r="F94" s="89">
        <f>Tab_En_El_cog[[#Totals],[2024]]</f>
        <v>4332980</v>
      </c>
      <c r="G94" s="89">
        <v>0</v>
      </c>
      <c r="H94" s="89">
        <f>Tab_En_El_acq[[#Totals],[2024]]</f>
        <v>2934924</v>
      </c>
      <c r="I94" s="90">
        <v>7720757</v>
      </c>
      <c r="K94" s="50">
        <v>2024</v>
      </c>
      <c r="L94" s="133">
        <v>0.2</v>
      </c>
      <c r="M94" s="91">
        <f>$I94*L94</f>
        <v>1544151.4000000001</v>
      </c>
      <c r="N94" s="133">
        <v>0.3</v>
      </c>
      <c r="O94" s="91">
        <f>$I94*N94</f>
        <v>2316227.1</v>
      </c>
      <c r="P94" s="133">
        <v>0.35</v>
      </c>
      <c r="Q94" s="91">
        <f>$I94*P94</f>
        <v>2702264.9499999997</v>
      </c>
      <c r="R94" s="92">
        <f>1-L94-N94-P94</f>
        <v>0.15000000000000002</v>
      </c>
      <c r="S94" s="93">
        <f>$I94*R94</f>
        <v>1158113.5500000003</v>
      </c>
    </row>
    <row r="95" spans="1:19" x14ac:dyDescent="0.2">
      <c r="C95" s="158">
        <v>2025</v>
      </c>
      <c r="D95" s="56">
        <f>Tab_En_El_prod[[#Totals],[2025]]</f>
        <v>432450.6</v>
      </c>
      <c r="E95" s="89">
        <f>Tab_En_El_vend[[#Totals],[2025]]</f>
        <v>13674</v>
      </c>
      <c r="F95" s="89">
        <f>Tab_En_El_cog[[#Totals],[2025]]</f>
        <v>3980220</v>
      </c>
      <c r="G95" s="56">
        <v>0</v>
      </c>
      <c r="H95" s="89">
        <f>Tab_En_El_acq[[#Totals],[2025]]</f>
        <v>3478622</v>
      </c>
      <c r="I95" s="57">
        <v>7877619</v>
      </c>
      <c r="K95" s="159">
        <v>2025</v>
      </c>
      <c r="L95" s="337">
        <v>0.19</v>
      </c>
      <c r="M95" s="338">
        <f>$I95*L95</f>
        <v>1496747.61</v>
      </c>
      <c r="N95" s="337">
        <v>0.36</v>
      </c>
      <c r="O95" s="338">
        <f>$I95*N95</f>
        <v>2835942.84</v>
      </c>
      <c r="P95" s="337">
        <v>0.39</v>
      </c>
      <c r="Q95" s="338">
        <f>$I95*P95</f>
        <v>3072271.41</v>
      </c>
      <c r="R95" s="339">
        <v>0.06</v>
      </c>
      <c r="S95" s="340">
        <f>$I95*R95</f>
        <v>472657.13999999996</v>
      </c>
    </row>
    <row r="96" spans="1:19" x14ac:dyDescent="0.2">
      <c r="C96" s="1"/>
      <c r="D96" s="154"/>
      <c r="E96" s="154"/>
      <c r="F96" s="154"/>
      <c r="G96" s="154"/>
      <c r="H96" s="154"/>
      <c r="I96" s="154"/>
      <c r="K96" s="1"/>
      <c r="L96" s="155"/>
      <c r="M96" s="156"/>
      <c r="N96" s="155"/>
      <c r="O96" s="156"/>
      <c r="P96" s="155"/>
      <c r="Q96" s="156"/>
      <c r="R96" s="157"/>
      <c r="S96" s="156"/>
    </row>
    <row r="97" spans="3:19" x14ac:dyDescent="0.2">
      <c r="C97" s="1"/>
      <c r="D97" s="154"/>
      <c r="E97" s="154"/>
      <c r="F97" s="154"/>
      <c r="G97" s="154"/>
      <c r="H97" s="154"/>
      <c r="I97" s="154"/>
      <c r="K97" s="1"/>
      <c r="L97" s="155"/>
      <c r="M97" s="156"/>
      <c r="N97" s="155"/>
      <c r="O97" s="156"/>
      <c r="P97" s="155"/>
      <c r="Q97" s="156"/>
      <c r="R97" s="157"/>
      <c r="S97" s="156"/>
    </row>
    <row r="98" spans="3:19" x14ac:dyDescent="0.2">
      <c r="C98" s="1"/>
      <c r="D98" s="154"/>
      <c r="E98" s="154"/>
      <c r="F98" s="154"/>
      <c r="G98" s="154"/>
      <c r="H98" s="154"/>
      <c r="I98" s="154"/>
      <c r="K98" s="1"/>
      <c r="L98" s="155"/>
      <c r="M98" s="156"/>
      <c r="N98" s="155"/>
      <c r="O98" s="156"/>
      <c r="P98" s="155"/>
      <c r="Q98" s="156"/>
      <c r="R98" s="157"/>
      <c r="S98" s="156"/>
    </row>
    <row r="100" spans="3:19" x14ac:dyDescent="0.2">
      <c r="K100" s="163"/>
      <c r="M100" s="164"/>
      <c r="O100" s="164"/>
      <c r="Q100" s="164"/>
      <c r="S100" s="164"/>
    </row>
    <row r="101" spans="3:19" x14ac:dyDescent="0.2">
      <c r="K101" s="165"/>
      <c r="M101" s="166"/>
      <c r="N101" s="166"/>
      <c r="O101" s="166"/>
      <c r="P101" s="166"/>
      <c r="Q101" s="166"/>
      <c r="R101" s="166"/>
      <c r="S101" s="166"/>
    </row>
    <row r="102" spans="3:19" x14ac:dyDescent="0.2">
      <c r="K102" s="165"/>
      <c r="M102" s="164"/>
      <c r="O102" s="8"/>
      <c r="Q102" s="164"/>
      <c r="S102" s="8"/>
    </row>
    <row r="103" spans="3:19" x14ac:dyDescent="0.2">
      <c r="K103" s="165"/>
      <c r="L103" s="167"/>
      <c r="M103" s="164"/>
      <c r="N103" s="167"/>
      <c r="O103" s="164"/>
      <c r="P103" s="167"/>
      <c r="Q103" s="164"/>
      <c r="R103" s="167"/>
      <c r="S103" s="164"/>
    </row>
    <row r="104" spans="3:19" x14ac:dyDescent="0.2">
      <c r="M104" s="164"/>
      <c r="O104" s="164"/>
      <c r="Q104" s="164"/>
      <c r="S104" s="164"/>
    </row>
    <row r="105" spans="3:19" x14ac:dyDescent="0.2">
      <c r="M105" s="164"/>
      <c r="O105" s="164"/>
      <c r="Q105" s="164"/>
      <c r="S105" s="164"/>
    </row>
    <row r="106" spans="3:19" x14ac:dyDescent="0.2">
      <c r="M106" s="164"/>
      <c r="O106" s="164"/>
      <c r="Q106" s="164"/>
      <c r="S106" s="164"/>
    </row>
    <row r="107" spans="3:19" x14ac:dyDescent="0.2">
      <c r="M107" s="164"/>
      <c r="O107" s="164"/>
      <c r="Q107" s="164"/>
      <c r="S107" s="164"/>
    </row>
    <row r="108" spans="3:19" x14ac:dyDescent="0.2">
      <c r="K108" s="165"/>
      <c r="M108" s="164"/>
      <c r="O108" s="164"/>
      <c r="Q108" s="164"/>
      <c r="S108" s="164"/>
    </row>
    <row r="109" spans="3:19" x14ac:dyDescent="0.2">
      <c r="M109" s="164"/>
      <c r="O109" s="164"/>
      <c r="Q109" s="164"/>
      <c r="S109" s="164"/>
    </row>
    <row r="115" spans="20:21" x14ac:dyDescent="0.2">
      <c r="U115" s="165"/>
    </row>
    <row r="116" spans="20:21" x14ac:dyDescent="0.2">
      <c r="T116" s="167"/>
      <c r="U116" s="168"/>
    </row>
  </sheetData>
  <mergeCells count="7">
    <mergeCell ref="D89:I90"/>
    <mergeCell ref="B1:I1"/>
    <mergeCell ref="L89:S89"/>
    <mergeCell ref="L90:M90"/>
    <mergeCell ref="N90:O90"/>
    <mergeCell ref="R90:S90"/>
    <mergeCell ref="P90:Q90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>
    <oddHeader>&amp;C&amp;F</oddHeader>
    <oddFooter>&amp;C&amp;A</oddFooter>
  </headerFooter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594D3-5F3D-4447-BF44-E677A8CE52DE}">
  <dimension ref="A1:Q68"/>
  <sheetViews>
    <sheetView topLeftCell="A40" zoomScale="90" zoomScaleNormal="90" workbookViewId="0">
      <selection activeCell="G70" sqref="G70"/>
    </sheetView>
  </sheetViews>
  <sheetFormatPr defaultRowHeight="12.75" x14ac:dyDescent="0.2"/>
  <cols>
    <col min="1" max="1" width="11.7109375" customWidth="1"/>
    <col min="2" max="2" width="14" bestFit="1" customWidth="1"/>
    <col min="3" max="3" width="13.42578125" customWidth="1"/>
    <col min="4" max="4" width="13.7109375" bestFit="1" customWidth="1"/>
    <col min="5" max="5" width="15.7109375" customWidth="1"/>
    <col min="6" max="6" width="18" customWidth="1"/>
    <col min="7" max="7" width="23" customWidth="1"/>
    <col min="8" max="8" width="20.5703125" customWidth="1"/>
    <col min="9" max="9" width="17" customWidth="1"/>
    <col min="10" max="10" width="6.7109375" customWidth="1"/>
    <col min="11" max="11" width="12" bestFit="1" customWidth="1"/>
    <col min="12" max="12" width="5.28515625" bestFit="1" customWidth="1"/>
    <col min="13" max="13" width="13.7109375" customWidth="1"/>
    <col min="14" max="14" width="5.28515625" bestFit="1" customWidth="1"/>
    <col min="15" max="15" width="14.85546875" customWidth="1"/>
    <col min="16" max="16" width="5.7109375" bestFit="1" customWidth="1"/>
    <col min="17" max="17" width="14.42578125" customWidth="1"/>
  </cols>
  <sheetData>
    <row r="1" spans="1:17" ht="15.75" thickBot="1" x14ac:dyDescent="0.25">
      <c r="A1" s="357" t="s">
        <v>189</v>
      </c>
      <c r="B1" s="357"/>
      <c r="J1" s="358" t="s">
        <v>28</v>
      </c>
      <c r="K1" s="359"/>
      <c r="L1" s="359"/>
      <c r="M1" s="359"/>
      <c r="N1" s="359"/>
      <c r="O1" s="359"/>
      <c r="P1" s="359"/>
      <c r="Q1" s="360"/>
    </row>
    <row r="2" spans="1:17" ht="57" customHeight="1" x14ac:dyDescent="0.2">
      <c r="A2" s="113" t="s">
        <v>1</v>
      </c>
      <c r="B2" s="114" t="s">
        <v>135</v>
      </c>
      <c r="C2" s="115" t="s">
        <v>170</v>
      </c>
      <c r="D2" s="116" t="s">
        <v>171</v>
      </c>
      <c r="E2" s="117" t="s">
        <v>172</v>
      </c>
      <c r="F2" s="118" t="s">
        <v>173</v>
      </c>
      <c r="G2" s="119" t="s">
        <v>174</v>
      </c>
      <c r="H2" s="119" t="s">
        <v>175</v>
      </c>
      <c r="I2" s="130" t="s">
        <v>176</v>
      </c>
      <c r="J2" s="361" t="s">
        <v>20</v>
      </c>
      <c r="K2" s="362"/>
      <c r="L2" s="363" t="s">
        <v>64</v>
      </c>
      <c r="M2" s="362"/>
      <c r="N2" s="363" t="s">
        <v>60</v>
      </c>
      <c r="O2" s="362"/>
      <c r="P2" s="363" t="s">
        <v>79</v>
      </c>
      <c r="Q2" s="362"/>
    </row>
    <row r="3" spans="1:17" ht="15" x14ac:dyDescent="0.25">
      <c r="A3" s="120" t="s">
        <v>167</v>
      </c>
      <c r="B3" s="124" t="s">
        <v>195</v>
      </c>
      <c r="C3" s="125">
        <f>'[4]1.5 Energia Termica'!B272</f>
        <v>5127441</v>
      </c>
      <c r="D3" s="125">
        <v>1073027</v>
      </c>
      <c r="E3" s="148">
        <f>C3-D3</f>
        <v>4054414</v>
      </c>
      <c r="F3" s="148">
        <f>E3+0.35*D3</f>
        <v>4429973.45</v>
      </c>
      <c r="G3" s="123">
        <v>35.280999999999999</v>
      </c>
      <c r="H3" s="148">
        <f t="shared" ref="H3:H15" si="0">F3/1000*G3/3600*10^6</f>
        <v>43414970.358180553</v>
      </c>
      <c r="I3" s="169"/>
      <c r="J3" s="138">
        <v>0.2</v>
      </c>
      <c r="K3" s="170">
        <f>H3*J3</f>
        <v>8682994.0716361105</v>
      </c>
      <c r="L3" s="138">
        <v>0.3</v>
      </c>
      <c r="M3" s="170">
        <f>H3*L3</f>
        <v>13024491.107454166</v>
      </c>
      <c r="N3" s="138">
        <v>0.35</v>
      </c>
      <c r="O3" s="170">
        <f>H3*N3</f>
        <v>15195239.625363192</v>
      </c>
      <c r="P3" s="138">
        <v>0.15</v>
      </c>
      <c r="Q3" s="171">
        <f>H3*P3</f>
        <v>6512245.5537270829</v>
      </c>
    </row>
    <row r="4" spans="1:17" ht="15" x14ac:dyDescent="0.25">
      <c r="A4" s="135" t="s">
        <v>169</v>
      </c>
      <c r="B4" s="126" t="s">
        <v>177</v>
      </c>
      <c r="C4" s="149">
        <v>379103</v>
      </c>
      <c r="D4" s="149">
        <v>71870</v>
      </c>
      <c r="E4" s="149">
        <f>C4-D4</f>
        <v>307233</v>
      </c>
      <c r="F4" s="148">
        <f>E4+0.35*D4</f>
        <v>332387.5</v>
      </c>
      <c r="G4" s="123">
        <v>35.337000000000003</v>
      </c>
      <c r="H4" s="148">
        <f t="shared" si="0"/>
        <v>3262660.3020833335</v>
      </c>
      <c r="I4" s="172">
        <f t="shared" ref="I4:I14" si="1">(H5-H4)/H4</f>
        <v>0.28807461171072918</v>
      </c>
      <c r="J4" s="138">
        <v>0.2</v>
      </c>
      <c r="K4" s="139">
        <f>$H4*J4</f>
        <v>652532.06041666679</v>
      </c>
      <c r="L4" s="138">
        <v>0.3</v>
      </c>
      <c r="M4" s="139">
        <f>$H4*L4</f>
        <v>978798.09062499995</v>
      </c>
      <c r="N4" s="138">
        <v>0.35</v>
      </c>
      <c r="O4" s="139">
        <f>$H4*N4</f>
        <v>1141931.1057291667</v>
      </c>
      <c r="P4" s="140">
        <v>0.15</v>
      </c>
      <c r="Q4" s="141">
        <f>$H4*P4</f>
        <v>489399.04531249998</v>
      </c>
    </row>
    <row r="5" spans="1:17" ht="15" x14ac:dyDescent="0.25">
      <c r="A5" s="136" t="s">
        <v>169</v>
      </c>
      <c r="B5" s="124" t="s">
        <v>178</v>
      </c>
      <c r="C5" s="150">
        <v>489405</v>
      </c>
      <c r="D5" s="150">
        <v>94254</v>
      </c>
      <c r="E5" s="150">
        <f t="shared" ref="E5:E15" si="2">C5-D5</f>
        <v>395151</v>
      </c>
      <c r="F5" s="125">
        <f t="shared" ref="F5:F15" si="3">E5+0.35*D5</f>
        <v>428139.9</v>
      </c>
      <c r="G5" s="123">
        <v>35.337000000000003</v>
      </c>
      <c r="H5" s="125">
        <f t="shared" si="0"/>
        <v>4202549.9017500002</v>
      </c>
      <c r="I5" s="128">
        <f>(H6-H5)/H5</f>
        <v>8.0117386863499507E-2</v>
      </c>
      <c r="J5" s="138">
        <v>0.2</v>
      </c>
      <c r="K5" s="139">
        <f>$H5*J5</f>
        <v>840509.98035000009</v>
      </c>
      <c r="L5" s="138">
        <v>0.3</v>
      </c>
      <c r="M5" s="139">
        <f t="shared" ref="M5:M16" si="4">$H5*L5</f>
        <v>1260764.970525</v>
      </c>
      <c r="N5" s="138">
        <v>0.35</v>
      </c>
      <c r="O5" s="139">
        <f t="shared" ref="O5:O16" si="5">$H5*N5</f>
        <v>1470892.4656125</v>
      </c>
      <c r="P5" s="140">
        <v>0.15</v>
      </c>
      <c r="Q5" s="141">
        <f t="shared" ref="Q5:Q16" si="6">$H5*P5</f>
        <v>630382.48526250001</v>
      </c>
    </row>
    <row r="6" spans="1:17" ht="15" x14ac:dyDescent="0.25">
      <c r="A6" s="135" t="s">
        <v>169</v>
      </c>
      <c r="B6" s="121" t="s">
        <v>179</v>
      </c>
      <c r="C6" s="149">
        <v>529119</v>
      </c>
      <c r="D6" s="149">
        <v>102581</v>
      </c>
      <c r="E6" s="149">
        <f t="shared" si="2"/>
        <v>426538</v>
      </c>
      <c r="F6" s="122">
        <f t="shared" si="3"/>
        <v>462441.35</v>
      </c>
      <c r="G6" s="123">
        <v>35.337000000000003</v>
      </c>
      <c r="H6" s="122">
        <f t="shared" si="0"/>
        <v>4539247.2180416668</v>
      </c>
      <c r="I6" s="129">
        <f t="shared" si="1"/>
        <v>-0.16627395019930621</v>
      </c>
      <c r="J6" s="138">
        <v>0.2</v>
      </c>
      <c r="K6" s="139">
        <f t="shared" ref="K6:K15" si="7">$H6*J6</f>
        <v>907849.44360833336</v>
      </c>
      <c r="L6" s="138">
        <v>0.3</v>
      </c>
      <c r="M6" s="139">
        <f t="shared" si="4"/>
        <v>1361774.1654125</v>
      </c>
      <c r="N6" s="138">
        <v>0.35</v>
      </c>
      <c r="O6" s="139">
        <f t="shared" si="5"/>
        <v>1588736.5263145834</v>
      </c>
      <c r="P6" s="140">
        <v>0.15</v>
      </c>
      <c r="Q6" s="141">
        <f t="shared" si="6"/>
        <v>680887.08270625002</v>
      </c>
    </row>
    <row r="7" spans="1:17" ht="15" x14ac:dyDescent="0.25">
      <c r="A7" s="136" t="s">
        <v>169</v>
      </c>
      <c r="B7" s="124" t="s">
        <v>180</v>
      </c>
      <c r="C7" s="150">
        <v>440737</v>
      </c>
      <c r="D7" s="150">
        <v>84904</v>
      </c>
      <c r="E7" s="150">
        <f t="shared" si="2"/>
        <v>355833</v>
      </c>
      <c r="F7" s="125">
        <f t="shared" si="3"/>
        <v>385549.4</v>
      </c>
      <c r="G7" s="123">
        <v>35.337000000000003</v>
      </c>
      <c r="H7" s="125">
        <f t="shared" si="0"/>
        <v>3784488.6521666674</v>
      </c>
      <c r="I7" s="128">
        <f t="shared" si="1"/>
        <v>0.11443825356750648</v>
      </c>
      <c r="J7" s="138">
        <v>0.2</v>
      </c>
      <c r="K7" s="139">
        <f t="shared" si="7"/>
        <v>756897.73043333355</v>
      </c>
      <c r="L7" s="138">
        <v>0.3</v>
      </c>
      <c r="M7" s="139">
        <f t="shared" si="4"/>
        <v>1135346.5956500003</v>
      </c>
      <c r="N7" s="138">
        <v>0.35</v>
      </c>
      <c r="O7" s="139">
        <f t="shared" si="5"/>
        <v>1324571.0282583334</v>
      </c>
      <c r="P7" s="140">
        <v>0.15</v>
      </c>
      <c r="Q7" s="141">
        <f t="shared" si="6"/>
        <v>567673.29782500013</v>
      </c>
    </row>
    <row r="8" spans="1:17" ht="15" x14ac:dyDescent="0.25">
      <c r="A8" s="135" t="s">
        <v>169</v>
      </c>
      <c r="B8" s="121" t="s">
        <v>181</v>
      </c>
      <c r="C8" s="149">
        <v>490875</v>
      </c>
      <c r="D8" s="149">
        <v>94160</v>
      </c>
      <c r="E8" s="149">
        <f t="shared" si="2"/>
        <v>396715</v>
      </c>
      <c r="F8" s="122">
        <f t="shared" si="3"/>
        <v>429671</v>
      </c>
      <c r="G8" s="123">
        <v>35.337000000000003</v>
      </c>
      <c r="H8" s="122">
        <f t="shared" si="0"/>
        <v>4217578.9241666673</v>
      </c>
      <c r="I8" s="129">
        <f t="shared" si="1"/>
        <v>-0.10047408365935795</v>
      </c>
      <c r="J8" s="138">
        <v>0.2</v>
      </c>
      <c r="K8" s="139">
        <f t="shared" si="7"/>
        <v>843515.78483333346</v>
      </c>
      <c r="L8" s="138">
        <v>0.3</v>
      </c>
      <c r="M8" s="139">
        <f t="shared" si="4"/>
        <v>1265273.6772500002</v>
      </c>
      <c r="N8" s="138">
        <v>0.35</v>
      </c>
      <c r="O8" s="139">
        <f t="shared" si="5"/>
        <v>1476152.6234583335</v>
      </c>
      <c r="P8" s="140">
        <v>0.15</v>
      </c>
      <c r="Q8" s="141">
        <f t="shared" si="6"/>
        <v>632636.83862500009</v>
      </c>
    </row>
    <row r="9" spans="1:17" ht="15" x14ac:dyDescent="0.25">
      <c r="A9" s="136" t="s">
        <v>169</v>
      </c>
      <c r="B9" s="124" t="s">
        <v>182</v>
      </c>
      <c r="C9" s="150">
        <v>441407</v>
      </c>
      <c r="D9" s="150">
        <v>84472</v>
      </c>
      <c r="E9" s="150">
        <f t="shared" si="2"/>
        <v>356935</v>
      </c>
      <c r="F9" s="125">
        <f t="shared" si="3"/>
        <v>386500.2</v>
      </c>
      <c r="G9" s="123">
        <v>35.337000000000003</v>
      </c>
      <c r="H9" s="125">
        <f t="shared" si="0"/>
        <v>3793821.5465000006</v>
      </c>
      <c r="I9" s="128">
        <f t="shared" si="1"/>
        <v>-0.11783435040913302</v>
      </c>
      <c r="J9" s="138">
        <v>0.2</v>
      </c>
      <c r="K9" s="139">
        <f t="shared" si="7"/>
        <v>758764.3093000002</v>
      </c>
      <c r="L9" s="138">
        <v>0.3</v>
      </c>
      <c r="M9" s="139">
        <f t="shared" si="4"/>
        <v>1138146.4639500002</v>
      </c>
      <c r="N9" s="138">
        <v>0.35</v>
      </c>
      <c r="O9" s="139">
        <f t="shared" si="5"/>
        <v>1327837.5412750002</v>
      </c>
      <c r="P9" s="140">
        <v>0.15</v>
      </c>
      <c r="Q9" s="141">
        <f t="shared" si="6"/>
        <v>569073.23197500012</v>
      </c>
    </row>
    <row r="10" spans="1:17" ht="15" x14ac:dyDescent="0.25">
      <c r="A10" s="135" t="s">
        <v>169</v>
      </c>
      <c r="B10" s="121" t="s">
        <v>183</v>
      </c>
      <c r="C10" s="149">
        <v>391795</v>
      </c>
      <c r="D10" s="149">
        <v>78212</v>
      </c>
      <c r="E10" s="149">
        <f t="shared" si="2"/>
        <v>313583</v>
      </c>
      <c r="F10" s="122">
        <f t="shared" si="3"/>
        <v>340957.2</v>
      </c>
      <c r="G10" s="123">
        <v>35.337000000000003</v>
      </c>
      <c r="H10" s="122">
        <f t="shared" si="0"/>
        <v>3346779.0490000006</v>
      </c>
      <c r="I10" s="129">
        <f t="shared" si="1"/>
        <v>-0.82867351092747121</v>
      </c>
      <c r="J10" s="138">
        <v>0.2</v>
      </c>
      <c r="K10" s="139">
        <f t="shared" si="7"/>
        <v>669355.80980000016</v>
      </c>
      <c r="L10" s="138">
        <v>0.3</v>
      </c>
      <c r="M10" s="139">
        <f t="shared" si="4"/>
        <v>1004033.7147000001</v>
      </c>
      <c r="N10" s="138">
        <v>0.35</v>
      </c>
      <c r="O10" s="139">
        <f t="shared" si="5"/>
        <v>1171372.6671500001</v>
      </c>
      <c r="P10" s="140">
        <v>0.15</v>
      </c>
      <c r="Q10" s="141">
        <f t="shared" si="6"/>
        <v>502016.85735000006</v>
      </c>
    </row>
    <row r="11" spans="1:17" ht="15" x14ac:dyDescent="0.25">
      <c r="A11" s="136" t="s">
        <v>169</v>
      </c>
      <c r="B11" s="124" t="s">
        <v>184</v>
      </c>
      <c r="C11" s="150">
        <v>58662</v>
      </c>
      <c r="D11" s="150">
        <v>380</v>
      </c>
      <c r="E11" s="150">
        <f t="shared" si="2"/>
        <v>58282</v>
      </c>
      <c r="F11" s="125">
        <f t="shared" si="3"/>
        <v>58415</v>
      </c>
      <c r="G11" s="123">
        <v>35.337000000000003</v>
      </c>
      <c r="H11" s="125">
        <f t="shared" si="0"/>
        <v>573391.90416666679</v>
      </c>
      <c r="I11" s="128">
        <f t="shared" si="1"/>
        <v>5.1193392108191391</v>
      </c>
      <c r="J11" s="138">
        <v>0.2</v>
      </c>
      <c r="K11" s="139">
        <f t="shared" si="7"/>
        <v>114678.38083333336</v>
      </c>
      <c r="L11" s="138">
        <v>0.3</v>
      </c>
      <c r="M11" s="139">
        <f t="shared" si="4"/>
        <v>172017.57125000004</v>
      </c>
      <c r="N11" s="138">
        <v>0.35</v>
      </c>
      <c r="O11" s="139">
        <f t="shared" si="5"/>
        <v>200687.16645833338</v>
      </c>
      <c r="P11" s="140">
        <v>0.15</v>
      </c>
      <c r="Q11" s="141">
        <f t="shared" si="6"/>
        <v>86008.785625000019</v>
      </c>
    </row>
    <row r="12" spans="1:17" ht="15" x14ac:dyDescent="0.25">
      <c r="A12" s="135" t="s">
        <v>169</v>
      </c>
      <c r="B12" s="121" t="s">
        <v>185</v>
      </c>
      <c r="C12" s="149">
        <v>407818</v>
      </c>
      <c r="D12" s="149">
        <v>77472</v>
      </c>
      <c r="E12" s="149">
        <f t="shared" si="2"/>
        <v>330346</v>
      </c>
      <c r="F12" s="122">
        <f t="shared" si="3"/>
        <v>357461.2</v>
      </c>
      <c r="G12" s="123">
        <v>35.337000000000003</v>
      </c>
      <c r="H12" s="122">
        <f t="shared" si="0"/>
        <v>3508779.5623333342</v>
      </c>
      <c r="I12" s="129">
        <f t="shared" si="1"/>
        <v>-0.14147045889176241</v>
      </c>
      <c r="J12" s="138">
        <v>0.2</v>
      </c>
      <c r="K12" s="139">
        <f t="shared" si="7"/>
        <v>701755.91246666689</v>
      </c>
      <c r="L12" s="138">
        <v>0.3</v>
      </c>
      <c r="M12" s="139">
        <f t="shared" si="4"/>
        <v>1052633.8687000002</v>
      </c>
      <c r="N12" s="138">
        <v>0.35</v>
      </c>
      <c r="O12" s="139">
        <f t="shared" si="5"/>
        <v>1228072.8468166669</v>
      </c>
      <c r="P12" s="140">
        <v>0.15</v>
      </c>
      <c r="Q12" s="141">
        <f t="shared" si="6"/>
        <v>526316.93435000011</v>
      </c>
    </row>
    <row r="13" spans="1:17" ht="15" x14ac:dyDescent="0.25">
      <c r="A13" s="136" t="s">
        <v>169</v>
      </c>
      <c r="B13" s="124" t="s">
        <v>186</v>
      </c>
      <c r="C13" s="150">
        <v>306891</v>
      </c>
      <c r="D13" s="150">
        <v>0</v>
      </c>
      <c r="E13" s="150">
        <f t="shared" si="2"/>
        <v>306891</v>
      </c>
      <c r="F13" s="125">
        <f t="shared" si="3"/>
        <v>306891</v>
      </c>
      <c r="G13" s="123">
        <v>35.337000000000003</v>
      </c>
      <c r="H13" s="125">
        <f t="shared" si="0"/>
        <v>3012390.9075000002</v>
      </c>
      <c r="I13" s="128">
        <f t="shared" si="1"/>
        <v>0.1609116917733005</v>
      </c>
      <c r="J13" s="138">
        <v>0.2</v>
      </c>
      <c r="K13" s="139">
        <f t="shared" si="7"/>
        <v>602478.18150000006</v>
      </c>
      <c r="L13" s="138">
        <v>0.3</v>
      </c>
      <c r="M13" s="139">
        <f t="shared" si="4"/>
        <v>903717.27225000004</v>
      </c>
      <c r="N13" s="138">
        <v>0.35</v>
      </c>
      <c r="O13" s="139">
        <f t="shared" si="5"/>
        <v>1054336.8176249999</v>
      </c>
      <c r="P13" s="140">
        <v>0.15</v>
      </c>
      <c r="Q13" s="141">
        <f t="shared" si="6"/>
        <v>451858.63612500002</v>
      </c>
    </row>
    <row r="14" spans="1:17" ht="15" x14ac:dyDescent="0.25">
      <c r="A14" s="135" t="s">
        <v>169</v>
      </c>
      <c r="B14" s="121" t="s">
        <v>187</v>
      </c>
      <c r="C14" s="149">
        <v>358549</v>
      </c>
      <c r="D14" s="149">
        <v>3501</v>
      </c>
      <c r="E14" s="149">
        <f t="shared" si="2"/>
        <v>355048</v>
      </c>
      <c r="F14" s="122">
        <f t="shared" si="3"/>
        <v>356273.35</v>
      </c>
      <c r="G14" s="123">
        <v>35.337000000000003</v>
      </c>
      <c r="H14" s="122">
        <f t="shared" si="0"/>
        <v>3497119.8247083332</v>
      </c>
      <c r="I14" s="129">
        <f t="shared" si="1"/>
        <v>-0.23427194315825189</v>
      </c>
      <c r="J14" s="138">
        <v>0.2</v>
      </c>
      <c r="K14" s="139">
        <f t="shared" si="7"/>
        <v>699423.96494166669</v>
      </c>
      <c r="L14" s="138">
        <v>0.3</v>
      </c>
      <c r="M14" s="139">
        <f t="shared" si="4"/>
        <v>1049135.9474124999</v>
      </c>
      <c r="N14" s="138">
        <v>0.35</v>
      </c>
      <c r="O14" s="139">
        <f t="shared" si="5"/>
        <v>1223991.9386479165</v>
      </c>
      <c r="P14" s="140">
        <v>0.15</v>
      </c>
      <c r="Q14" s="141">
        <f t="shared" si="6"/>
        <v>524567.97370624996</v>
      </c>
    </row>
    <row r="15" spans="1:17" ht="15" x14ac:dyDescent="0.25">
      <c r="A15" s="136" t="s">
        <v>169</v>
      </c>
      <c r="B15" s="124" t="s">
        <v>188</v>
      </c>
      <c r="C15" s="150">
        <v>273127</v>
      </c>
      <c r="D15" s="150">
        <v>490</v>
      </c>
      <c r="E15" s="150">
        <f t="shared" si="2"/>
        <v>272637</v>
      </c>
      <c r="F15" s="125">
        <f t="shared" si="3"/>
        <v>272808.5</v>
      </c>
      <c r="G15" s="123">
        <v>35.337000000000003</v>
      </c>
      <c r="H15" s="125">
        <f t="shared" si="0"/>
        <v>2677842.7679166668</v>
      </c>
      <c r="I15" s="128">
        <f>(H16-H15)/H15</f>
        <v>14.092988671540663</v>
      </c>
      <c r="J15" s="138">
        <v>0.2</v>
      </c>
      <c r="K15" s="139">
        <f t="shared" si="7"/>
        <v>535568.55358333339</v>
      </c>
      <c r="L15" s="138">
        <v>0.3</v>
      </c>
      <c r="M15" s="139">
        <f t="shared" si="4"/>
        <v>803352.83037500002</v>
      </c>
      <c r="N15" s="138">
        <v>0.35</v>
      </c>
      <c r="O15" s="139">
        <f t="shared" si="5"/>
        <v>937244.96877083334</v>
      </c>
      <c r="P15" s="140">
        <v>0.15</v>
      </c>
      <c r="Q15" s="141">
        <f t="shared" si="6"/>
        <v>401676.41518750001</v>
      </c>
    </row>
    <row r="16" spans="1:17" ht="15" x14ac:dyDescent="0.25">
      <c r="A16" s="127" t="s">
        <v>196</v>
      </c>
      <c r="B16" s="126" t="s">
        <v>197</v>
      </c>
      <c r="C16" s="148">
        <f>SUM(C4:C15)</f>
        <v>4567488</v>
      </c>
      <c r="D16" s="148">
        <f t="shared" ref="D16:H16" si="8">SUM(D4:D15)</f>
        <v>692296</v>
      </c>
      <c r="E16" s="148">
        <f t="shared" si="8"/>
        <v>3875192</v>
      </c>
      <c r="F16" s="148">
        <f t="shared" si="8"/>
        <v>4117495.6000000006</v>
      </c>
      <c r="G16" s="123">
        <f>G15</f>
        <v>35.337000000000003</v>
      </c>
      <c r="H16" s="148">
        <f t="shared" si="8"/>
        <v>40416650.560333341</v>
      </c>
      <c r="I16" s="173"/>
      <c r="J16" s="138">
        <v>0.2</v>
      </c>
      <c r="K16" s="139">
        <f>$H16*J16</f>
        <v>8083330.1120666685</v>
      </c>
      <c r="L16" s="138">
        <v>0.3</v>
      </c>
      <c r="M16" s="139">
        <f t="shared" si="4"/>
        <v>12124995.168100001</v>
      </c>
      <c r="N16" s="138">
        <v>0.35</v>
      </c>
      <c r="O16" s="139">
        <f t="shared" si="5"/>
        <v>14145827.696116669</v>
      </c>
      <c r="P16" s="140">
        <v>0.15</v>
      </c>
      <c r="Q16" s="141">
        <f t="shared" si="6"/>
        <v>6062497.5840500006</v>
      </c>
    </row>
    <row r="19" spans="1:17" ht="13.5" thickBot="1" x14ac:dyDescent="0.25"/>
    <row r="20" spans="1:17" ht="57" x14ac:dyDescent="0.2">
      <c r="A20" s="113" t="s">
        <v>1</v>
      </c>
      <c r="B20" s="114" t="s">
        <v>135</v>
      </c>
      <c r="C20" s="115" t="s">
        <v>170</v>
      </c>
      <c r="D20" s="116" t="s">
        <v>171</v>
      </c>
      <c r="E20" s="117" t="s">
        <v>172</v>
      </c>
      <c r="F20" s="118" t="s">
        <v>173</v>
      </c>
      <c r="G20" s="119" t="s">
        <v>174</v>
      </c>
      <c r="H20" s="119" t="s">
        <v>175</v>
      </c>
      <c r="I20" s="130" t="s">
        <v>176</v>
      </c>
      <c r="J20" s="354" t="s">
        <v>20</v>
      </c>
      <c r="K20" s="355"/>
      <c r="L20" s="356" t="s">
        <v>64</v>
      </c>
      <c r="M20" s="355"/>
      <c r="N20" s="356" t="s">
        <v>60</v>
      </c>
      <c r="O20" s="355"/>
      <c r="P20" s="356" t="s">
        <v>79</v>
      </c>
      <c r="Q20" s="355"/>
    </row>
    <row r="21" spans="1:17" ht="15" x14ac:dyDescent="0.25">
      <c r="A21" s="134">
        <v>2023</v>
      </c>
      <c r="B21" s="126" t="s">
        <v>177</v>
      </c>
      <c r="C21" s="149">
        <v>355439</v>
      </c>
      <c r="D21" s="149">
        <v>50733</v>
      </c>
      <c r="E21" s="149">
        <f>C21-D21</f>
        <v>304706</v>
      </c>
      <c r="F21" s="148">
        <f>E21+0.35*D21</f>
        <v>322462.55</v>
      </c>
      <c r="G21" s="123">
        <v>35.457000000000001</v>
      </c>
      <c r="H21" s="148">
        <f t="shared" ref="H21:H32" si="9">F21/1000*G21/3600*10^6</f>
        <v>3175987.3987083333</v>
      </c>
      <c r="I21" s="137">
        <f t="shared" ref="I21" si="10">(H22-H21)/H21</f>
        <v>0.21717514173351313</v>
      </c>
      <c r="J21" s="138">
        <v>0.2</v>
      </c>
      <c r="K21" s="139">
        <f>$H21*J21</f>
        <v>635197.4797416667</v>
      </c>
      <c r="L21" s="138">
        <v>0.3</v>
      </c>
      <c r="M21" s="139">
        <f>$H21*L21</f>
        <v>952796.21961249993</v>
      </c>
      <c r="N21" s="138">
        <v>0.35</v>
      </c>
      <c r="O21" s="139">
        <f>$H21*N21</f>
        <v>1111595.5895479165</v>
      </c>
      <c r="P21" s="140">
        <v>0.15</v>
      </c>
      <c r="Q21" s="141">
        <f>$H21*P21</f>
        <v>476398.10980624997</v>
      </c>
    </row>
    <row r="22" spans="1:17" ht="15" x14ac:dyDescent="0.25">
      <c r="A22" s="134">
        <v>2023</v>
      </c>
      <c r="B22" s="124" t="s">
        <v>178</v>
      </c>
      <c r="C22" s="150">
        <v>450320</v>
      </c>
      <c r="D22" s="150">
        <v>88964</v>
      </c>
      <c r="E22" s="150">
        <f t="shared" ref="E22:E32" si="11">C22-D22</f>
        <v>361356</v>
      </c>
      <c r="F22" s="125">
        <f t="shared" ref="F22:F32" si="12">E22+0.35*D22</f>
        <v>392493.4</v>
      </c>
      <c r="G22" s="123">
        <v>35.457000000000001</v>
      </c>
      <c r="H22" s="125">
        <f t="shared" si="9"/>
        <v>3865732.9121666672</v>
      </c>
      <c r="I22" s="128">
        <f>(H23-H22)/H22</f>
        <v>9.6196522030688972E-2</v>
      </c>
      <c r="J22" s="138">
        <v>0.2</v>
      </c>
      <c r="K22" s="139">
        <f>$H22*J22</f>
        <v>773146.5824333335</v>
      </c>
      <c r="L22" s="138">
        <v>0.3</v>
      </c>
      <c r="M22" s="139">
        <f t="shared" ref="M22:M33" si="13">$H22*L22</f>
        <v>1159719.8736500002</v>
      </c>
      <c r="N22" s="138">
        <v>0.35</v>
      </c>
      <c r="O22" s="139">
        <f t="shared" ref="O22:O33" si="14">$H22*N22</f>
        <v>1353006.5192583334</v>
      </c>
      <c r="P22" s="140">
        <v>0.15</v>
      </c>
      <c r="Q22" s="141">
        <f t="shared" ref="Q22:Q33" si="15">$H22*P22</f>
        <v>579859.9368250001</v>
      </c>
    </row>
    <row r="23" spans="1:17" ht="15" x14ac:dyDescent="0.25">
      <c r="A23" s="134">
        <v>2023</v>
      </c>
      <c r="B23" s="121" t="s">
        <v>179</v>
      </c>
      <c r="C23" s="149">
        <v>501434</v>
      </c>
      <c r="D23" s="149">
        <v>109514</v>
      </c>
      <c r="E23" s="149">
        <f t="shared" si="11"/>
        <v>391920</v>
      </c>
      <c r="F23" s="122">
        <f t="shared" si="12"/>
        <v>430249.9</v>
      </c>
      <c r="G23" s="123">
        <v>35.457000000000001</v>
      </c>
      <c r="H23" s="122">
        <f t="shared" si="9"/>
        <v>4237602.9734166674</v>
      </c>
      <c r="I23" s="129">
        <f t="shared" ref="I23:I31" si="16">(H24-H23)/H23</f>
        <v>-0.24554034294952787</v>
      </c>
      <c r="J23" s="138">
        <v>0.2</v>
      </c>
      <c r="K23" s="139">
        <f t="shared" ref="K23:K32" si="17">$H23*J23</f>
        <v>847520.59468333353</v>
      </c>
      <c r="L23" s="138">
        <v>0.3</v>
      </c>
      <c r="M23" s="139">
        <f t="shared" si="13"/>
        <v>1271280.8920250002</v>
      </c>
      <c r="N23" s="138">
        <v>0.35</v>
      </c>
      <c r="O23" s="139">
        <f t="shared" si="14"/>
        <v>1483161.0406958335</v>
      </c>
      <c r="P23" s="140">
        <v>0.15</v>
      </c>
      <c r="Q23" s="141">
        <f t="shared" si="15"/>
        <v>635640.44601250009</v>
      </c>
    </row>
    <row r="24" spans="1:17" ht="15" x14ac:dyDescent="0.25">
      <c r="A24" s="134">
        <v>2023</v>
      </c>
      <c r="B24" s="124" t="s">
        <v>180</v>
      </c>
      <c r="C24" s="150">
        <v>377324</v>
      </c>
      <c r="D24" s="150">
        <v>81104.320000000007</v>
      </c>
      <c r="E24" s="150">
        <f t="shared" si="11"/>
        <v>296219.68</v>
      </c>
      <c r="F24" s="125">
        <f t="shared" si="12"/>
        <v>324606.19199999998</v>
      </c>
      <c r="G24" s="123">
        <v>35.457000000000001</v>
      </c>
      <c r="H24" s="125">
        <f t="shared" si="9"/>
        <v>3197100.4860399999</v>
      </c>
      <c r="I24" s="128">
        <f t="shared" si="16"/>
        <v>0.26586175534199302</v>
      </c>
      <c r="J24" s="138">
        <v>0.2</v>
      </c>
      <c r="K24" s="139">
        <f t="shared" si="17"/>
        <v>639420.09720800002</v>
      </c>
      <c r="L24" s="138">
        <v>0.3</v>
      </c>
      <c r="M24" s="139">
        <f t="shared" si="13"/>
        <v>959130.14581199992</v>
      </c>
      <c r="N24" s="138">
        <v>0.35</v>
      </c>
      <c r="O24" s="139">
        <f t="shared" si="14"/>
        <v>1118985.1701139999</v>
      </c>
      <c r="P24" s="140">
        <v>0.15</v>
      </c>
      <c r="Q24" s="141">
        <f t="shared" si="15"/>
        <v>479565.07290599996</v>
      </c>
    </row>
    <row r="25" spans="1:17" ht="15" x14ac:dyDescent="0.25">
      <c r="A25" s="134">
        <v>2023</v>
      </c>
      <c r="B25" s="121" t="s">
        <v>181</v>
      </c>
      <c r="C25" s="149">
        <v>482271</v>
      </c>
      <c r="D25" s="149">
        <v>109791.44</v>
      </c>
      <c r="E25" s="149">
        <f t="shared" si="11"/>
        <v>372479.56</v>
      </c>
      <c r="F25" s="122">
        <f t="shared" si="12"/>
        <v>410906.56400000001</v>
      </c>
      <c r="G25" s="123">
        <v>35.457000000000001</v>
      </c>
      <c r="H25" s="122">
        <f t="shared" si="9"/>
        <v>4047087.2332633333</v>
      </c>
      <c r="I25" s="129">
        <f t="shared" si="16"/>
        <v>-0.11727608712524737</v>
      </c>
      <c r="J25" s="138">
        <v>0.2</v>
      </c>
      <c r="K25" s="139">
        <f t="shared" si="17"/>
        <v>809417.44665266667</v>
      </c>
      <c r="L25" s="138">
        <v>0.3</v>
      </c>
      <c r="M25" s="139">
        <f t="shared" si="13"/>
        <v>1214126.169979</v>
      </c>
      <c r="N25" s="138">
        <v>0.35</v>
      </c>
      <c r="O25" s="139">
        <f t="shared" si="14"/>
        <v>1416480.5316421667</v>
      </c>
      <c r="P25" s="140">
        <v>0.15</v>
      </c>
      <c r="Q25" s="141">
        <f t="shared" si="15"/>
        <v>607063.0849895</v>
      </c>
    </row>
    <row r="26" spans="1:17" ht="15" x14ac:dyDescent="0.25">
      <c r="A26" s="134">
        <v>2023</v>
      </c>
      <c r="B26" s="124" t="s">
        <v>182</v>
      </c>
      <c r="C26" s="150">
        <v>421232</v>
      </c>
      <c r="D26" s="150">
        <v>90023</v>
      </c>
      <c r="E26" s="150">
        <f t="shared" si="11"/>
        <v>331209</v>
      </c>
      <c r="F26" s="125">
        <f t="shared" si="12"/>
        <v>362717.05</v>
      </c>
      <c r="G26" s="123">
        <v>35.457000000000001</v>
      </c>
      <c r="H26" s="125">
        <f t="shared" si="9"/>
        <v>3572460.6782916663</v>
      </c>
      <c r="I26" s="128">
        <f t="shared" si="16"/>
        <v>-0.16247650889308893</v>
      </c>
      <c r="J26" s="138">
        <v>0.2</v>
      </c>
      <c r="K26" s="139">
        <f t="shared" si="17"/>
        <v>714492.13565833331</v>
      </c>
      <c r="L26" s="138">
        <v>0.3</v>
      </c>
      <c r="M26" s="139">
        <f t="shared" si="13"/>
        <v>1071738.2034874998</v>
      </c>
      <c r="N26" s="138">
        <v>0.35</v>
      </c>
      <c r="O26" s="139">
        <f t="shared" si="14"/>
        <v>1250361.2374020831</v>
      </c>
      <c r="P26" s="140">
        <v>0.15</v>
      </c>
      <c r="Q26" s="141">
        <f t="shared" si="15"/>
        <v>535869.10174374992</v>
      </c>
    </row>
    <row r="27" spans="1:17" ht="15" x14ac:dyDescent="0.25">
      <c r="A27" s="134">
        <v>2023</v>
      </c>
      <c r="B27" s="121" t="s">
        <v>183</v>
      </c>
      <c r="C27" s="149">
        <v>361545</v>
      </c>
      <c r="D27" s="149">
        <v>88863</v>
      </c>
      <c r="E27" s="149">
        <f t="shared" si="11"/>
        <v>272682</v>
      </c>
      <c r="F27" s="122">
        <f t="shared" si="12"/>
        <v>303784.05</v>
      </c>
      <c r="G27" s="123">
        <v>35.457000000000001</v>
      </c>
      <c r="H27" s="122">
        <f t="shared" si="9"/>
        <v>2992019.7391249998</v>
      </c>
      <c r="I27" s="129">
        <f t="shared" si="16"/>
        <v>-0.83495134125705417</v>
      </c>
      <c r="J27" s="138">
        <v>0.2</v>
      </c>
      <c r="K27" s="139">
        <f t="shared" si="17"/>
        <v>598403.94782500004</v>
      </c>
      <c r="L27" s="138">
        <v>0.3</v>
      </c>
      <c r="M27" s="139">
        <f t="shared" si="13"/>
        <v>897605.92173749988</v>
      </c>
      <c r="N27" s="138">
        <v>0.35</v>
      </c>
      <c r="O27" s="139">
        <f t="shared" si="14"/>
        <v>1047206.9086937499</v>
      </c>
      <c r="P27" s="140">
        <v>0.15</v>
      </c>
      <c r="Q27" s="141">
        <f t="shared" si="15"/>
        <v>448802.96086874994</v>
      </c>
    </row>
    <row r="28" spans="1:17" ht="15" x14ac:dyDescent="0.25">
      <c r="A28" s="134">
        <v>2023</v>
      </c>
      <c r="B28" s="124" t="s">
        <v>184</v>
      </c>
      <c r="C28" s="150">
        <v>56489</v>
      </c>
      <c r="D28" s="150">
        <v>9769</v>
      </c>
      <c r="E28" s="150">
        <f t="shared" si="11"/>
        <v>46720</v>
      </c>
      <c r="F28" s="125">
        <f t="shared" si="12"/>
        <v>50139.15</v>
      </c>
      <c r="G28" s="123">
        <v>35.457000000000001</v>
      </c>
      <c r="H28" s="125">
        <f t="shared" si="9"/>
        <v>493828.84487500001</v>
      </c>
      <c r="I28" s="128">
        <f t="shared" si="16"/>
        <v>5.6865094442167443</v>
      </c>
      <c r="J28" s="138">
        <v>0.2</v>
      </c>
      <c r="K28" s="139">
        <f t="shared" si="17"/>
        <v>98765.768975000014</v>
      </c>
      <c r="L28" s="138">
        <v>0.3</v>
      </c>
      <c r="M28" s="139">
        <f t="shared" si="13"/>
        <v>148148.65346249999</v>
      </c>
      <c r="N28" s="138">
        <v>0.35</v>
      </c>
      <c r="O28" s="139">
        <f t="shared" si="14"/>
        <v>172840.09570624999</v>
      </c>
      <c r="P28" s="140">
        <v>0.15</v>
      </c>
      <c r="Q28" s="141">
        <f t="shared" si="15"/>
        <v>74074.326731249996</v>
      </c>
    </row>
    <row r="29" spans="1:17" ht="15" x14ac:dyDescent="0.25">
      <c r="A29" s="134">
        <v>2023</v>
      </c>
      <c r="B29" s="121" t="s">
        <v>185</v>
      </c>
      <c r="C29" s="149">
        <v>397197</v>
      </c>
      <c r="D29" s="149">
        <v>95294</v>
      </c>
      <c r="E29" s="149">
        <f t="shared" si="11"/>
        <v>301903</v>
      </c>
      <c r="F29" s="122">
        <f t="shared" si="12"/>
        <v>335255.90000000002</v>
      </c>
      <c r="G29" s="123">
        <v>35.457000000000001</v>
      </c>
      <c r="H29" s="122">
        <f t="shared" si="9"/>
        <v>3301991.2350833332</v>
      </c>
      <c r="I29" s="129">
        <f t="shared" si="16"/>
        <v>-4.8065170516014936E-2</v>
      </c>
      <c r="J29" s="138">
        <v>0.2</v>
      </c>
      <c r="K29" s="139">
        <f t="shared" si="17"/>
        <v>660398.24701666669</v>
      </c>
      <c r="L29" s="138">
        <v>0.3</v>
      </c>
      <c r="M29" s="139">
        <f t="shared" si="13"/>
        <v>990597.37052499992</v>
      </c>
      <c r="N29" s="138">
        <v>0.35</v>
      </c>
      <c r="O29" s="139">
        <f t="shared" si="14"/>
        <v>1155696.9322791665</v>
      </c>
      <c r="P29" s="140">
        <v>0.15</v>
      </c>
      <c r="Q29" s="141">
        <f t="shared" si="15"/>
        <v>495298.68526249996</v>
      </c>
    </row>
    <row r="30" spans="1:17" ht="15" x14ac:dyDescent="0.25">
      <c r="A30" s="134">
        <v>2023</v>
      </c>
      <c r="B30" s="124" t="s">
        <v>186</v>
      </c>
      <c r="C30" s="150">
        <v>382294</v>
      </c>
      <c r="D30" s="150">
        <v>97157.28</v>
      </c>
      <c r="E30" s="150">
        <f t="shared" si="11"/>
        <v>285136.71999999997</v>
      </c>
      <c r="F30" s="125">
        <f t="shared" si="12"/>
        <v>319141.76799999998</v>
      </c>
      <c r="G30" s="123">
        <v>35.457000000000001</v>
      </c>
      <c r="H30" s="125">
        <f t="shared" si="9"/>
        <v>3143280.463326666</v>
      </c>
      <c r="I30" s="128">
        <f t="shared" si="16"/>
        <v>-9.089308548293493E-3</v>
      </c>
      <c r="J30" s="138">
        <v>0.2</v>
      </c>
      <c r="K30" s="139">
        <f t="shared" si="17"/>
        <v>628656.0926653333</v>
      </c>
      <c r="L30" s="138">
        <v>0.3</v>
      </c>
      <c r="M30" s="139">
        <f t="shared" si="13"/>
        <v>942984.13899799972</v>
      </c>
      <c r="N30" s="138">
        <v>0.35</v>
      </c>
      <c r="O30" s="139">
        <f t="shared" si="14"/>
        <v>1100148.162164333</v>
      </c>
      <c r="P30" s="140">
        <v>0.15</v>
      </c>
      <c r="Q30" s="141">
        <f t="shared" si="15"/>
        <v>471492.06949899986</v>
      </c>
    </row>
    <row r="31" spans="1:17" ht="15" x14ac:dyDescent="0.25">
      <c r="A31" s="134">
        <v>2023</v>
      </c>
      <c r="B31" s="121" t="s">
        <v>187</v>
      </c>
      <c r="C31" s="149">
        <v>370591</v>
      </c>
      <c r="D31" s="149">
        <v>83615.399999999994</v>
      </c>
      <c r="E31" s="149">
        <f t="shared" si="11"/>
        <v>286975.59999999998</v>
      </c>
      <c r="F31" s="122">
        <f t="shared" si="12"/>
        <v>316240.99</v>
      </c>
      <c r="G31" s="123">
        <v>35.457000000000001</v>
      </c>
      <c r="H31" s="122">
        <f t="shared" si="9"/>
        <v>3114710.217341667</v>
      </c>
      <c r="I31" s="129">
        <f t="shared" si="16"/>
        <v>-0.23028446755115456</v>
      </c>
      <c r="J31" s="138">
        <v>0.2</v>
      </c>
      <c r="K31" s="139">
        <f t="shared" si="17"/>
        <v>622942.04346833343</v>
      </c>
      <c r="L31" s="138">
        <v>0.3</v>
      </c>
      <c r="M31" s="139">
        <f t="shared" si="13"/>
        <v>934413.06520250009</v>
      </c>
      <c r="N31" s="138">
        <v>0.35</v>
      </c>
      <c r="O31" s="139">
        <f t="shared" si="14"/>
        <v>1090148.5760695834</v>
      </c>
      <c r="P31" s="140">
        <v>0.15</v>
      </c>
      <c r="Q31" s="141">
        <f t="shared" si="15"/>
        <v>467206.53260125004</v>
      </c>
    </row>
    <row r="32" spans="1:17" ht="15" x14ac:dyDescent="0.25">
      <c r="A32" s="134">
        <v>2023</v>
      </c>
      <c r="B32" s="124" t="s">
        <v>188</v>
      </c>
      <c r="C32" s="150">
        <v>285427</v>
      </c>
      <c r="D32" s="150">
        <v>64632.92</v>
      </c>
      <c r="E32" s="150">
        <f t="shared" si="11"/>
        <v>220794.08000000002</v>
      </c>
      <c r="F32" s="125">
        <f t="shared" si="12"/>
        <v>243415.60200000001</v>
      </c>
      <c r="G32" s="123">
        <v>35.457000000000001</v>
      </c>
      <c r="H32" s="125">
        <f t="shared" si="9"/>
        <v>2397440.8333650003</v>
      </c>
      <c r="I32" s="128">
        <f>(H33-H32)/H32</f>
        <v>14.658047736808587</v>
      </c>
      <c r="J32" s="138">
        <v>0.2</v>
      </c>
      <c r="K32" s="139">
        <f t="shared" si="17"/>
        <v>479488.16667300009</v>
      </c>
      <c r="L32" s="138">
        <v>0.3</v>
      </c>
      <c r="M32" s="139">
        <f t="shared" si="13"/>
        <v>719232.25000950007</v>
      </c>
      <c r="N32" s="138">
        <v>0.35</v>
      </c>
      <c r="O32" s="139">
        <f t="shared" si="14"/>
        <v>839104.29167775006</v>
      </c>
      <c r="P32" s="140">
        <v>0.15</v>
      </c>
      <c r="Q32" s="141">
        <f t="shared" si="15"/>
        <v>359616.12500475004</v>
      </c>
    </row>
    <row r="33" spans="1:17" ht="15" x14ac:dyDescent="0.25">
      <c r="A33" s="127" t="s">
        <v>193</v>
      </c>
      <c r="B33" s="126" t="s">
        <v>194</v>
      </c>
      <c r="C33" s="148">
        <f>SUM(C21:C32)</f>
        <v>4441563</v>
      </c>
      <c r="D33" s="148">
        <f t="shared" ref="D33:F33" si="18">SUM(D21:D32)</f>
        <v>969461.3600000001</v>
      </c>
      <c r="E33" s="148">
        <f t="shared" si="18"/>
        <v>3472101.64</v>
      </c>
      <c r="F33" s="148">
        <f t="shared" si="18"/>
        <v>3811413.1159999995</v>
      </c>
      <c r="G33" s="123">
        <v>35.457000000000001</v>
      </c>
      <c r="H33" s="148">
        <f t="shared" ref="H33" si="19">SUM(H21:H32)</f>
        <v>37539243.015003338</v>
      </c>
      <c r="I33" s="142"/>
      <c r="J33" s="138">
        <v>0.2</v>
      </c>
      <c r="K33" s="139">
        <f>$H33*J33</f>
        <v>7507848.6030006679</v>
      </c>
      <c r="L33" s="138">
        <v>0.3</v>
      </c>
      <c r="M33" s="139">
        <f t="shared" si="13"/>
        <v>11261772.904501</v>
      </c>
      <c r="N33" s="138">
        <v>0.35</v>
      </c>
      <c r="O33" s="139">
        <f t="shared" si="14"/>
        <v>13138735.055251168</v>
      </c>
      <c r="P33" s="140">
        <v>0.15</v>
      </c>
      <c r="Q33" s="141">
        <f t="shared" si="15"/>
        <v>5630886.4522505002</v>
      </c>
    </row>
    <row r="36" spans="1:17" ht="13.5" thickBot="1" x14ac:dyDescent="0.25"/>
    <row r="37" spans="1:17" ht="57" x14ac:dyDescent="0.2">
      <c r="A37" s="113" t="s">
        <v>1</v>
      </c>
      <c r="B37" s="114" t="s">
        <v>135</v>
      </c>
      <c r="C37" s="115" t="s">
        <v>170</v>
      </c>
      <c r="D37" s="116" t="s">
        <v>171</v>
      </c>
      <c r="E37" s="117" t="s">
        <v>172</v>
      </c>
      <c r="F37" s="118" t="s">
        <v>173</v>
      </c>
      <c r="G37" s="119" t="s">
        <v>174</v>
      </c>
      <c r="H37" s="119" t="s">
        <v>175</v>
      </c>
      <c r="I37" s="130" t="s">
        <v>176</v>
      </c>
      <c r="J37" s="354" t="s">
        <v>20</v>
      </c>
      <c r="K37" s="355"/>
      <c r="L37" s="356" t="s">
        <v>64</v>
      </c>
      <c r="M37" s="355"/>
      <c r="N37" s="356" t="s">
        <v>60</v>
      </c>
      <c r="O37" s="355"/>
      <c r="P37" s="356" t="s">
        <v>79</v>
      </c>
      <c r="Q37" s="355"/>
    </row>
    <row r="38" spans="1:17" ht="15" x14ac:dyDescent="0.25">
      <c r="A38" s="134" t="s">
        <v>204</v>
      </c>
      <c r="B38" s="126" t="s">
        <v>177</v>
      </c>
      <c r="C38" s="149">
        <v>386473</v>
      </c>
      <c r="D38" s="149">
        <v>73860.159999999334</v>
      </c>
      <c r="E38" s="149">
        <f>C38-D38</f>
        <v>312612.84000000067</v>
      </c>
      <c r="F38" s="148">
        <f>E38+0.35*D38</f>
        <v>338463.89600000042</v>
      </c>
      <c r="G38" s="123">
        <v>35.584000000000003</v>
      </c>
      <c r="H38" s="148">
        <f t="shared" ref="H38:H49" si="20">F38/1000*G38/3600*10^6</f>
        <v>3345527.5764622269</v>
      </c>
      <c r="I38" s="137">
        <f t="shared" ref="I38" si="21">(H39-H38)/H38</f>
        <v>9.7727812008638476E-2</v>
      </c>
      <c r="J38" s="138">
        <v>0.2</v>
      </c>
      <c r="K38" s="139">
        <f>$H38*J38</f>
        <v>669105.51529244543</v>
      </c>
      <c r="L38" s="138">
        <v>0.3</v>
      </c>
      <c r="M38" s="139">
        <f>$H38*L38</f>
        <v>1003658.272938668</v>
      </c>
      <c r="N38" s="138">
        <v>0.35</v>
      </c>
      <c r="O38" s="139">
        <f>$H38*N38</f>
        <v>1170934.6517617793</v>
      </c>
      <c r="P38" s="140">
        <v>0.15</v>
      </c>
      <c r="Q38" s="141">
        <f>$H38*P38</f>
        <v>501829.13646933401</v>
      </c>
    </row>
    <row r="39" spans="1:17" ht="15" x14ac:dyDescent="0.25">
      <c r="A39" s="134" t="s">
        <v>204</v>
      </c>
      <c r="B39" s="124" t="s">
        <v>178</v>
      </c>
      <c r="C39" s="150">
        <v>434372</v>
      </c>
      <c r="D39" s="150">
        <v>96662.720000000205</v>
      </c>
      <c r="E39" s="150">
        <f t="shared" ref="E39:E49" si="22">C39-D39</f>
        <v>337709.2799999998</v>
      </c>
      <c r="F39" s="125">
        <f t="shared" ref="F39:F49" si="23">E39+0.35*D39</f>
        <v>371541.23199999984</v>
      </c>
      <c r="G39" s="123">
        <v>35.584000000000003</v>
      </c>
      <c r="H39" s="125">
        <f t="shared" si="20"/>
        <v>3672478.6665244433</v>
      </c>
      <c r="I39" s="128">
        <f>(H40-H39)/H39</f>
        <v>4.5689163242049018E-2</v>
      </c>
      <c r="J39" s="138">
        <v>0.2</v>
      </c>
      <c r="K39" s="139">
        <f>$H39*J39</f>
        <v>734495.73330488871</v>
      </c>
      <c r="L39" s="138">
        <v>0.3</v>
      </c>
      <c r="M39" s="139">
        <f t="shared" ref="M39:M50" si="24">$H39*L39</f>
        <v>1101743.5999573329</v>
      </c>
      <c r="N39" s="138">
        <v>0.35</v>
      </c>
      <c r="O39" s="139">
        <f t="shared" ref="O39:O50" si="25">$H39*N39</f>
        <v>1285367.5332835552</v>
      </c>
      <c r="P39" s="140">
        <v>0.15</v>
      </c>
      <c r="Q39" s="141">
        <f t="shared" ref="Q39:Q50" si="26">$H39*P39</f>
        <v>550871.79997866647</v>
      </c>
    </row>
    <row r="40" spans="1:17" ht="15" x14ac:dyDescent="0.25">
      <c r="A40" s="134" t="s">
        <v>204</v>
      </c>
      <c r="B40" s="121" t="s">
        <v>179</v>
      </c>
      <c r="C40" s="149">
        <v>453370</v>
      </c>
      <c r="D40" s="149">
        <v>99774.400000000256</v>
      </c>
      <c r="E40" s="149">
        <f t="shared" si="22"/>
        <v>353595.59999999974</v>
      </c>
      <c r="F40" s="122">
        <f t="shared" si="23"/>
        <v>388516.63999999984</v>
      </c>
      <c r="G40" s="123">
        <v>35.584000000000003</v>
      </c>
      <c r="H40" s="122">
        <f t="shared" si="20"/>
        <v>3840271.1438222211</v>
      </c>
      <c r="I40" s="129">
        <f t="shared" ref="I40:I48" si="27">(H41-H40)/H40</f>
        <v>-8.7333448060293875E-2</v>
      </c>
      <c r="J40" s="138">
        <v>0.2</v>
      </c>
      <c r="K40" s="139">
        <f t="shared" ref="K40:K49" si="28">$H40*J40</f>
        <v>768054.22876444424</v>
      </c>
      <c r="L40" s="138">
        <v>0.3</v>
      </c>
      <c r="M40" s="139">
        <f t="shared" si="24"/>
        <v>1152081.3431466662</v>
      </c>
      <c r="N40" s="138">
        <v>0.35</v>
      </c>
      <c r="O40" s="139">
        <f t="shared" si="25"/>
        <v>1344094.9003377773</v>
      </c>
      <c r="P40" s="140">
        <v>0.15</v>
      </c>
      <c r="Q40" s="141">
        <f t="shared" si="26"/>
        <v>576040.67157333309</v>
      </c>
    </row>
    <row r="41" spans="1:17" ht="15" x14ac:dyDescent="0.25">
      <c r="A41" s="134" t="s">
        <v>204</v>
      </c>
      <c r="B41" s="124" t="s">
        <v>180</v>
      </c>
      <c r="C41" s="150">
        <v>412000</v>
      </c>
      <c r="D41" s="150">
        <v>88329.012000000002</v>
      </c>
      <c r="E41" s="150">
        <f>C41-D41</f>
        <v>323670.98800000001</v>
      </c>
      <c r="F41" s="125">
        <f>E41+0.35*D41</f>
        <v>354586.1422</v>
      </c>
      <c r="G41" s="123">
        <v>35.584000000000003</v>
      </c>
      <c r="H41" s="125">
        <f t="shared" si="20"/>
        <v>3504887.0233457778</v>
      </c>
      <c r="I41" s="128">
        <f t="shared" si="27"/>
        <v>0.11932927648406008</v>
      </c>
      <c r="J41" s="138">
        <v>0.2</v>
      </c>
      <c r="K41" s="139">
        <f t="shared" si="28"/>
        <v>700977.4046691556</v>
      </c>
      <c r="L41" s="138">
        <v>0.3</v>
      </c>
      <c r="M41" s="139">
        <f t="shared" si="24"/>
        <v>1051466.1070037333</v>
      </c>
      <c r="N41" s="138">
        <v>0.35</v>
      </c>
      <c r="O41" s="139">
        <f t="shared" si="25"/>
        <v>1226710.4581710221</v>
      </c>
      <c r="P41" s="140">
        <v>0.15</v>
      </c>
      <c r="Q41" s="141">
        <f t="shared" si="26"/>
        <v>525733.05350186664</v>
      </c>
    </row>
    <row r="42" spans="1:17" ht="15" x14ac:dyDescent="0.25">
      <c r="A42" s="134" t="s">
        <v>204</v>
      </c>
      <c r="B42" s="121" t="s">
        <v>181</v>
      </c>
      <c r="C42" s="149">
        <v>465759</v>
      </c>
      <c r="D42" s="149">
        <v>105939</v>
      </c>
      <c r="E42" s="149">
        <f t="shared" si="22"/>
        <v>359820</v>
      </c>
      <c r="F42" s="122">
        <f t="shared" si="23"/>
        <v>396898.65</v>
      </c>
      <c r="G42" s="123">
        <v>35.584000000000003</v>
      </c>
      <c r="H42" s="122">
        <f t="shared" si="20"/>
        <v>3923122.6560000004</v>
      </c>
      <c r="I42" s="129">
        <f t="shared" si="27"/>
        <v>-0.17138191324157939</v>
      </c>
      <c r="J42" s="138">
        <v>0.2</v>
      </c>
      <c r="K42" s="139">
        <f t="shared" si="28"/>
        <v>784624.53120000008</v>
      </c>
      <c r="L42" s="138">
        <v>0.3</v>
      </c>
      <c r="M42" s="139">
        <f t="shared" si="24"/>
        <v>1176936.7968000001</v>
      </c>
      <c r="N42" s="138">
        <v>0.35</v>
      </c>
      <c r="O42" s="139">
        <f t="shared" si="25"/>
        <v>1373092.9296000001</v>
      </c>
      <c r="P42" s="140">
        <v>0.15</v>
      </c>
      <c r="Q42" s="141">
        <f t="shared" si="26"/>
        <v>588468.39840000006</v>
      </c>
    </row>
    <row r="43" spans="1:17" ht="15" x14ac:dyDescent="0.25">
      <c r="A43" s="134" t="s">
        <v>204</v>
      </c>
      <c r="B43" s="124" t="s">
        <v>182</v>
      </c>
      <c r="C43" s="150">
        <v>389369</v>
      </c>
      <c r="D43" s="150">
        <v>93064</v>
      </c>
      <c r="E43" s="150">
        <f t="shared" si="22"/>
        <v>296305</v>
      </c>
      <c r="F43" s="125">
        <f t="shared" si="23"/>
        <v>328877.40000000002</v>
      </c>
      <c r="G43" s="123">
        <v>35.584000000000003</v>
      </c>
      <c r="H43" s="125">
        <f t="shared" si="20"/>
        <v>3250770.3893333338</v>
      </c>
      <c r="I43" s="128">
        <f t="shared" si="27"/>
        <v>-5.6974118622927623E-2</v>
      </c>
      <c r="J43" s="138">
        <v>0.2</v>
      </c>
      <c r="K43" s="139">
        <f t="shared" si="28"/>
        <v>650154.07786666683</v>
      </c>
      <c r="L43" s="138">
        <v>0.3</v>
      </c>
      <c r="M43" s="139">
        <f t="shared" si="24"/>
        <v>975231.11680000008</v>
      </c>
      <c r="N43" s="138">
        <v>0.35</v>
      </c>
      <c r="O43" s="139">
        <f t="shared" si="25"/>
        <v>1137769.6362666667</v>
      </c>
      <c r="P43" s="140">
        <v>0.15</v>
      </c>
      <c r="Q43" s="141">
        <f t="shared" si="26"/>
        <v>487615.55840000004</v>
      </c>
    </row>
    <row r="44" spans="1:17" ht="15" x14ac:dyDescent="0.25">
      <c r="A44" s="134" t="s">
        <v>204</v>
      </c>
      <c r="B44" s="121" t="s">
        <v>183</v>
      </c>
      <c r="C44" s="149">
        <v>363605</v>
      </c>
      <c r="D44" s="149">
        <v>82254</v>
      </c>
      <c r="E44" s="149">
        <f t="shared" si="22"/>
        <v>281351</v>
      </c>
      <c r="F44" s="122">
        <f t="shared" si="23"/>
        <v>310139.90000000002</v>
      </c>
      <c r="G44" s="123">
        <v>35.584000000000003</v>
      </c>
      <c r="H44" s="122">
        <f t="shared" si="20"/>
        <v>3065560.6115555558</v>
      </c>
      <c r="I44" s="129">
        <f t="shared" si="27"/>
        <v>-0.99168610036954297</v>
      </c>
      <c r="J44" s="138">
        <v>0.2</v>
      </c>
      <c r="K44" s="139">
        <f t="shared" si="28"/>
        <v>613112.12231111119</v>
      </c>
      <c r="L44" s="138">
        <v>0.3</v>
      </c>
      <c r="M44" s="139">
        <f t="shared" si="24"/>
        <v>919668.18346666673</v>
      </c>
      <c r="N44" s="138">
        <v>0.35</v>
      </c>
      <c r="O44" s="139">
        <f t="shared" si="25"/>
        <v>1072946.2140444445</v>
      </c>
      <c r="P44" s="140">
        <v>0.15</v>
      </c>
      <c r="Q44" s="141">
        <f t="shared" si="26"/>
        <v>459834.09173333336</v>
      </c>
    </row>
    <row r="45" spans="1:17" ht="15" x14ac:dyDescent="0.25">
      <c r="A45" s="134" t="s">
        <v>204</v>
      </c>
      <c r="B45" s="124" t="s">
        <v>184</v>
      </c>
      <c r="C45" s="150">
        <v>3107</v>
      </c>
      <c r="D45" s="150">
        <v>813.12</v>
      </c>
      <c r="E45" s="150">
        <f t="shared" si="22"/>
        <v>2293.88</v>
      </c>
      <c r="F45" s="125">
        <f t="shared" si="23"/>
        <v>2578.4720000000002</v>
      </c>
      <c r="G45" s="123">
        <v>35.584000000000003</v>
      </c>
      <c r="H45" s="125">
        <f t="shared" si="20"/>
        <v>25486.763235555562</v>
      </c>
      <c r="I45" s="128">
        <f t="shared" si="27"/>
        <v>124.32872181664177</v>
      </c>
      <c r="J45" s="138">
        <v>0.2</v>
      </c>
      <c r="K45" s="139">
        <f t="shared" si="28"/>
        <v>5097.3526471111127</v>
      </c>
      <c r="L45" s="138">
        <v>0.3</v>
      </c>
      <c r="M45" s="139">
        <f t="shared" si="24"/>
        <v>7646.0289706666681</v>
      </c>
      <c r="N45" s="138">
        <v>0.35</v>
      </c>
      <c r="O45" s="139">
        <f t="shared" si="25"/>
        <v>8920.3671324444458</v>
      </c>
      <c r="P45" s="140">
        <v>0.15</v>
      </c>
      <c r="Q45" s="141">
        <f t="shared" si="26"/>
        <v>3823.0144853333341</v>
      </c>
    </row>
    <row r="46" spans="1:17" ht="15" x14ac:dyDescent="0.25">
      <c r="A46" s="134" t="s">
        <v>204</v>
      </c>
      <c r="B46" s="121" t="s">
        <v>185</v>
      </c>
      <c r="C46" s="149">
        <v>373581</v>
      </c>
      <c r="D46" s="149">
        <v>77576</v>
      </c>
      <c r="E46" s="149">
        <f t="shared" si="22"/>
        <v>296005</v>
      </c>
      <c r="F46" s="122">
        <f t="shared" si="23"/>
        <v>323156.59999999998</v>
      </c>
      <c r="G46" s="123">
        <v>35.584000000000003</v>
      </c>
      <c r="H46" s="122">
        <f t="shared" si="20"/>
        <v>3194223.4595555556</v>
      </c>
      <c r="I46" s="129">
        <f t="shared" si="27"/>
        <v>6.4327945027271641E-2</v>
      </c>
      <c r="J46" s="138">
        <v>0.2</v>
      </c>
      <c r="K46" s="139">
        <f t="shared" si="28"/>
        <v>638844.69191111112</v>
      </c>
      <c r="L46" s="138">
        <v>0.3</v>
      </c>
      <c r="M46" s="139">
        <f t="shared" si="24"/>
        <v>958267.03786666668</v>
      </c>
      <c r="N46" s="138">
        <v>0.35</v>
      </c>
      <c r="O46" s="139">
        <f t="shared" si="25"/>
        <v>1117978.2108444443</v>
      </c>
      <c r="P46" s="140">
        <v>0.15</v>
      </c>
      <c r="Q46" s="141">
        <f t="shared" si="26"/>
        <v>479133.51893333334</v>
      </c>
    </row>
    <row r="47" spans="1:17" ht="15" x14ac:dyDescent="0.25">
      <c r="A47" s="134" t="s">
        <v>204</v>
      </c>
      <c r="B47" s="124" t="s">
        <v>186</v>
      </c>
      <c r="C47" s="150">
        <v>402091</v>
      </c>
      <c r="D47" s="150">
        <v>89456</v>
      </c>
      <c r="E47" s="150">
        <f t="shared" si="22"/>
        <v>312635</v>
      </c>
      <c r="F47" s="125">
        <f t="shared" si="23"/>
        <v>343944.6</v>
      </c>
      <c r="G47" s="123">
        <v>35.584000000000003</v>
      </c>
      <c r="H47" s="125">
        <f t="shared" si="20"/>
        <v>3399701.2906666668</v>
      </c>
      <c r="I47" s="128">
        <f t="shared" si="27"/>
        <v>-8.9318018076166864E-2</v>
      </c>
      <c r="J47" s="138">
        <v>0.2</v>
      </c>
      <c r="K47" s="139">
        <f t="shared" si="28"/>
        <v>679940.25813333341</v>
      </c>
      <c r="L47" s="138">
        <v>0.3</v>
      </c>
      <c r="M47" s="139">
        <f t="shared" si="24"/>
        <v>1019910.3872</v>
      </c>
      <c r="N47" s="138">
        <v>0.35</v>
      </c>
      <c r="O47" s="139">
        <f t="shared" si="25"/>
        <v>1189895.4517333333</v>
      </c>
      <c r="P47" s="140">
        <v>0.15</v>
      </c>
      <c r="Q47" s="141">
        <f t="shared" si="26"/>
        <v>509955.1936</v>
      </c>
    </row>
    <row r="48" spans="1:17" ht="15" x14ac:dyDescent="0.25">
      <c r="A48" s="134" t="s">
        <v>204</v>
      </c>
      <c r="B48" s="121" t="s">
        <v>187</v>
      </c>
      <c r="C48" s="149">
        <v>367648</v>
      </c>
      <c r="D48" s="149">
        <v>83729</v>
      </c>
      <c r="E48" s="149">
        <f t="shared" si="22"/>
        <v>283919</v>
      </c>
      <c r="F48" s="122">
        <f t="shared" si="23"/>
        <v>313224.15000000002</v>
      </c>
      <c r="G48" s="123">
        <v>35.584000000000003</v>
      </c>
      <c r="H48" s="122">
        <f t="shared" si="20"/>
        <v>3096046.7093333337</v>
      </c>
      <c r="I48" s="129">
        <f t="shared" si="27"/>
        <v>-0.36941066804714778</v>
      </c>
      <c r="J48" s="138">
        <v>0.2</v>
      </c>
      <c r="K48" s="139">
        <f t="shared" si="28"/>
        <v>619209.3418666668</v>
      </c>
      <c r="L48" s="138">
        <v>0.3</v>
      </c>
      <c r="M48" s="139">
        <f t="shared" si="24"/>
        <v>928814.01280000003</v>
      </c>
      <c r="N48" s="138">
        <v>0.35</v>
      </c>
      <c r="O48" s="139">
        <f t="shared" si="25"/>
        <v>1083616.3482666668</v>
      </c>
      <c r="P48" s="140">
        <v>0.15</v>
      </c>
      <c r="Q48" s="141">
        <f t="shared" si="26"/>
        <v>464407.00640000001</v>
      </c>
    </row>
    <row r="49" spans="1:17" ht="15" x14ac:dyDescent="0.25">
      <c r="A49" s="134" t="s">
        <v>204</v>
      </c>
      <c r="B49" s="124" t="s">
        <v>188</v>
      </c>
      <c r="C49" s="150">
        <v>252536</v>
      </c>
      <c r="D49" s="150">
        <v>84646.45</v>
      </c>
      <c r="E49" s="150">
        <f t="shared" si="22"/>
        <v>167889.55</v>
      </c>
      <c r="F49" s="125">
        <f t="shared" si="23"/>
        <v>197515.8075</v>
      </c>
      <c r="G49" s="123">
        <v>35.584000000000003</v>
      </c>
      <c r="H49" s="125">
        <f t="shared" si="20"/>
        <v>1952334.0261333333</v>
      </c>
      <c r="I49" s="128">
        <f>(H50-H49)/H49</f>
        <v>17.577973763947981</v>
      </c>
      <c r="J49" s="138">
        <v>0.2</v>
      </c>
      <c r="K49" s="139">
        <f t="shared" si="28"/>
        <v>390466.80522666668</v>
      </c>
      <c r="L49" s="138">
        <v>0.3</v>
      </c>
      <c r="M49" s="139">
        <f t="shared" si="24"/>
        <v>585700.20783999993</v>
      </c>
      <c r="N49" s="138">
        <v>0.35</v>
      </c>
      <c r="O49" s="139">
        <f t="shared" si="25"/>
        <v>683316.90914666664</v>
      </c>
      <c r="P49" s="140">
        <v>0.15</v>
      </c>
      <c r="Q49" s="141">
        <f t="shared" si="26"/>
        <v>292850.10391999997</v>
      </c>
    </row>
    <row r="50" spans="1:17" ht="15" x14ac:dyDescent="0.25">
      <c r="A50" s="127" t="s">
        <v>205</v>
      </c>
      <c r="B50" s="126" t="s">
        <v>206</v>
      </c>
      <c r="C50" s="148">
        <f>SUM(C38:C49)</f>
        <v>4303911</v>
      </c>
      <c r="D50" s="148">
        <f>SUM(D38:D49)</f>
        <v>976103.86199999973</v>
      </c>
      <c r="E50" s="148">
        <f t="shared" ref="E50:F50" si="29">SUM(E38:E49)</f>
        <v>3327807.1379999998</v>
      </c>
      <c r="F50" s="148">
        <f t="shared" si="29"/>
        <v>3669443.4897000003</v>
      </c>
      <c r="G50" s="123">
        <v>35.584000000000003</v>
      </c>
      <c r="H50" s="148">
        <f t="shared" ref="H50" si="30">SUM(H38:H49)</f>
        <v>36270410.315967999</v>
      </c>
      <c r="I50" s="142"/>
      <c r="J50" s="138">
        <v>0.2</v>
      </c>
      <c r="K50" s="139">
        <f>$H50*J50</f>
        <v>7254082.0631936006</v>
      </c>
      <c r="L50" s="138">
        <v>0.3</v>
      </c>
      <c r="M50" s="139">
        <f t="shared" si="24"/>
        <v>10881123.094790399</v>
      </c>
      <c r="N50" s="138">
        <v>0.35</v>
      </c>
      <c r="O50" s="139">
        <f t="shared" si="25"/>
        <v>12694643.610588798</v>
      </c>
      <c r="P50" s="140">
        <v>0.15</v>
      </c>
      <c r="Q50" s="141">
        <f t="shared" si="26"/>
        <v>5440561.5473951995</v>
      </c>
    </row>
    <row r="54" spans="1:17" ht="13.5" thickBot="1" x14ac:dyDescent="0.25"/>
    <row r="55" spans="1:17" ht="57" x14ac:dyDescent="0.2">
      <c r="A55" s="113" t="s">
        <v>1</v>
      </c>
      <c r="B55" s="114" t="s">
        <v>135</v>
      </c>
      <c r="C55" s="115" t="s">
        <v>170</v>
      </c>
      <c r="D55" s="116" t="s">
        <v>382</v>
      </c>
      <c r="E55" s="117" t="s">
        <v>172</v>
      </c>
      <c r="F55" s="118" t="s">
        <v>173</v>
      </c>
      <c r="G55" s="119" t="s">
        <v>174</v>
      </c>
      <c r="H55" s="119" t="s">
        <v>175</v>
      </c>
      <c r="I55" s="130" t="s">
        <v>176</v>
      </c>
      <c r="J55" s="354" t="s">
        <v>20</v>
      </c>
      <c r="K55" s="355"/>
      <c r="L55" s="356" t="s">
        <v>64</v>
      </c>
      <c r="M55" s="355"/>
      <c r="N55" s="356" t="s">
        <v>60</v>
      </c>
      <c r="O55" s="355"/>
      <c r="P55" s="356" t="s">
        <v>79</v>
      </c>
      <c r="Q55" s="355"/>
    </row>
    <row r="56" spans="1:17" ht="15" x14ac:dyDescent="0.25">
      <c r="A56" s="134" t="s">
        <v>207</v>
      </c>
      <c r="B56" s="126" t="s">
        <v>177</v>
      </c>
      <c r="C56" s="149">
        <v>384674</v>
      </c>
      <c r="D56" s="149">
        <v>77127.600000000006</v>
      </c>
      <c r="E56" s="149">
        <f>C56-D56</f>
        <v>307546.40000000002</v>
      </c>
      <c r="F56" s="148">
        <f>E56+0.35*D56</f>
        <v>334541.06</v>
      </c>
      <c r="G56" s="123">
        <v>35.667000000000002</v>
      </c>
      <c r="H56" s="148">
        <f t="shared" ref="H56:H67" si="31">F56/1000*G56/3600*10^6</f>
        <v>3314465.5519500007</v>
      </c>
      <c r="I56" s="137">
        <f t="shared" ref="I56" si="32">(H57-H56)/H56</f>
        <v>6.8746538915133187E-2</v>
      </c>
      <c r="J56" s="138">
        <v>0.2</v>
      </c>
      <c r="K56" s="139">
        <f>$H56*J56</f>
        <v>662893.11039000016</v>
      </c>
      <c r="L56" s="138">
        <v>0.3</v>
      </c>
      <c r="M56" s="139">
        <f>$H56*L56</f>
        <v>994339.66558500018</v>
      </c>
      <c r="N56" s="138">
        <v>0.35</v>
      </c>
      <c r="O56" s="139">
        <f>$H56*N56</f>
        <v>1160062.9431825001</v>
      </c>
      <c r="P56" s="140">
        <v>0.15</v>
      </c>
      <c r="Q56" s="141">
        <f>$H56*P56</f>
        <v>497169.83279250009</v>
      </c>
    </row>
    <row r="57" spans="1:17" ht="15" x14ac:dyDescent="0.25">
      <c r="A57" s="134" t="s">
        <v>207</v>
      </c>
      <c r="B57" s="124" t="s">
        <v>178</v>
      </c>
      <c r="C57" s="150">
        <v>410759</v>
      </c>
      <c r="D57" s="150">
        <v>81876</v>
      </c>
      <c r="E57" s="150">
        <f t="shared" ref="E57:E58" si="33">C57-D57</f>
        <v>328883</v>
      </c>
      <c r="F57" s="125">
        <f t="shared" ref="F57:F58" si="34">E57+0.35*D57</f>
        <v>357539.6</v>
      </c>
      <c r="G57" s="123">
        <v>35.667000000000002</v>
      </c>
      <c r="H57" s="125">
        <f t="shared" si="31"/>
        <v>3542323.5869999998</v>
      </c>
      <c r="I57" s="128">
        <f>(H58-H57)/H57</f>
        <v>8.2482891405595532E-2</v>
      </c>
      <c r="J57" s="138">
        <v>0.2</v>
      </c>
      <c r="K57" s="139">
        <f>$H57*J57</f>
        <v>708464.71739999996</v>
      </c>
      <c r="L57" s="138">
        <v>0.3</v>
      </c>
      <c r="M57" s="139">
        <f t="shared" ref="M57:M68" si="35">$H57*L57</f>
        <v>1062697.0760999999</v>
      </c>
      <c r="N57" s="138">
        <v>0.35</v>
      </c>
      <c r="O57" s="139">
        <f t="shared" ref="O57:O68" si="36">$H57*N57</f>
        <v>1239813.2554499998</v>
      </c>
      <c r="P57" s="140">
        <v>0.15</v>
      </c>
      <c r="Q57" s="141">
        <f t="shared" ref="Q57:Q68" si="37">$H57*P57</f>
        <v>531348.53804999997</v>
      </c>
    </row>
    <row r="58" spans="1:17" ht="15" x14ac:dyDescent="0.25">
      <c r="A58" s="134" t="s">
        <v>207</v>
      </c>
      <c r="B58" s="121" t="s">
        <v>179</v>
      </c>
      <c r="C58" s="149">
        <v>452271</v>
      </c>
      <c r="D58" s="149">
        <v>100370</v>
      </c>
      <c r="E58" s="149">
        <f t="shared" si="33"/>
        <v>351901</v>
      </c>
      <c r="F58" s="122">
        <f t="shared" si="34"/>
        <v>387030.5</v>
      </c>
      <c r="G58" s="123">
        <v>35.667000000000002</v>
      </c>
      <c r="H58" s="122">
        <f t="shared" si="31"/>
        <v>3834504.6787500004</v>
      </c>
      <c r="I58" s="129">
        <f t="shared" ref="I58:I66" si="38">(H59-H58)/H58</f>
        <v>-7.813402302919277E-2</v>
      </c>
      <c r="J58" s="138">
        <v>0.2</v>
      </c>
      <c r="K58" s="139">
        <f t="shared" ref="K58:K67" si="39">$H58*J58</f>
        <v>766900.93575000018</v>
      </c>
      <c r="L58" s="138">
        <v>0.3</v>
      </c>
      <c r="M58" s="139">
        <f t="shared" si="35"/>
        <v>1150351.403625</v>
      </c>
      <c r="N58" s="138">
        <v>0.35</v>
      </c>
      <c r="O58" s="139">
        <f t="shared" si="36"/>
        <v>1342076.6375625001</v>
      </c>
      <c r="P58" s="140">
        <v>0.15</v>
      </c>
      <c r="Q58" s="141">
        <f t="shared" si="37"/>
        <v>575175.70181250002</v>
      </c>
    </row>
    <row r="59" spans="1:17" ht="15" x14ac:dyDescent="0.25">
      <c r="A59" s="134" t="s">
        <v>207</v>
      </c>
      <c r="B59" s="124" t="s">
        <v>180</v>
      </c>
      <c r="C59" s="150">
        <v>412024</v>
      </c>
      <c r="D59" s="150">
        <v>84975</v>
      </c>
      <c r="E59" s="150">
        <f>C59-D59</f>
        <v>327049</v>
      </c>
      <c r="F59" s="125">
        <f>E59+0.35*D59</f>
        <v>356790.25</v>
      </c>
      <c r="G59" s="123">
        <v>35.667000000000002</v>
      </c>
      <c r="H59" s="125">
        <f t="shared" si="31"/>
        <v>3534899.4018750004</v>
      </c>
      <c r="I59" s="128">
        <f t="shared" si="38"/>
        <v>-5.3992506801965594E-2</v>
      </c>
      <c r="J59" s="138">
        <v>0.2</v>
      </c>
      <c r="K59" s="139">
        <f t="shared" si="39"/>
        <v>706979.88037500018</v>
      </c>
      <c r="L59" s="138">
        <v>0.3</v>
      </c>
      <c r="M59" s="139">
        <f t="shared" si="35"/>
        <v>1060469.8205625</v>
      </c>
      <c r="N59" s="138">
        <v>0.35</v>
      </c>
      <c r="O59" s="139">
        <f t="shared" si="36"/>
        <v>1237214.79065625</v>
      </c>
      <c r="P59" s="140">
        <v>0.15</v>
      </c>
      <c r="Q59" s="141">
        <f t="shared" si="37"/>
        <v>530234.91028125002</v>
      </c>
    </row>
    <row r="60" spans="1:17" ht="15" x14ac:dyDescent="0.25">
      <c r="A60" s="134" t="s">
        <v>207</v>
      </c>
      <c r="B60" s="121" t="s">
        <v>181</v>
      </c>
      <c r="C60" s="149">
        <v>394944</v>
      </c>
      <c r="D60" s="149">
        <v>88335</v>
      </c>
      <c r="E60" s="149">
        <f t="shared" ref="E60:E67" si="40">C60-D60</f>
        <v>306609</v>
      </c>
      <c r="F60" s="122">
        <f t="shared" ref="F60:F67" si="41">E60+0.35*D60</f>
        <v>337526.25</v>
      </c>
      <c r="G60" s="123">
        <v>35.667000000000002</v>
      </c>
      <c r="H60" s="122">
        <f t="shared" si="31"/>
        <v>3344041.3218750004</v>
      </c>
      <c r="I60" s="129">
        <f t="shared" si="38"/>
        <v>-0.14044863177308442</v>
      </c>
      <c r="J60" s="138">
        <v>0.2</v>
      </c>
      <c r="K60" s="139">
        <f t="shared" si="39"/>
        <v>668808.26437500014</v>
      </c>
      <c r="L60" s="138">
        <v>0.3</v>
      </c>
      <c r="M60" s="139">
        <f t="shared" si="35"/>
        <v>1003212.3965625</v>
      </c>
      <c r="N60" s="138">
        <v>0.35</v>
      </c>
      <c r="O60" s="139">
        <f t="shared" si="36"/>
        <v>1170414.46265625</v>
      </c>
      <c r="P60" s="140">
        <v>0.15</v>
      </c>
      <c r="Q60" s="141">
        <f t="shared" si="37"/>
        <v>501606.19828125002</v>
      </c>
    </row>
    <row r="61" spans="1:17" ht="15" x14ac:dyDescent="0.25">
      <c r="A61" s="134" t="s">
        <v>207</v>
      </c>
      <c r="B61" s="124" t="s">
        <v>182</v>
      </c>
      <c r="C61" s="150">
        <v>341841</v>
      </c>
      <c r="D61" s="150">
        <v>79569</v>
      </c>
      <c r="E61" s="150">
        <f t="shared" si="40"/>
        <v>262272</v>
      </c>
      <c r="F61" s="125">
        <f t="shared" si="41"/>
        <v>290121.15000000002</v>
      </c>
      <c r="G61" s="123">
        <v>35.667000000000002</v>
      </c>
      <c r="H61" s="125">
        <f t="shared" si="31"/>
        <v>2874375.2936249999</v>
      </c>
      <c r="I61" s="128">
        <f t="shared" si="38"/>
        <v>0.10394347326970116</v>
      </c>
      <c r="J61" s="138">
        <v>0.2</v>
      </c>
      <c r="K61" s="139">
        <f t="shared" si="39"/>
        <v>574875.05872500001</v>
      </c>
      <c r="L61" s="138">
        <v>0.3</v>
      </c>
      <c r="M61" s="139">
        <f t="shared" si="35"/>
        <v>862312.58808749996</v>
      </c>
      <c r="N61" s="138">
        <v>0.35</v>
      </c>
      <c r="O61" s="139">
        <f t="shared" si="36"/>
        <v>1006031.3527687499</v>
      </c>
      <c r="P61" s="140">
        <v>0.15</v>
      </c>
      <c r="Q61" s="141">
        <f t="shared" si="37"/>
        <v>431156.29404374998</v>
      </c>
    </row>
    <row r="62" spans="1:17" ht="15" x14ac:dyDescent="0.25">
      <c r="A62" s="134" t="s">
        <v>207</v>
      </c>
      <c r="B62" s="121" t="s">
        <v>183</v>
      </c>
      <c r="C62" s="149">
        <v>385174</v>
      </c>
      <c r="D62" s="149">
        <v>99841</v>
      </c>
      <c r="E62" s="149">
        <f t="shared" si="40"/>
        <v>285333</v>
      </c>
      <c r="F62" s="122">
        <f t="shared" si="41"/>
        <v>320277.34999999998</v>
      </c>
      <c r="G62" s="123">
        <v>35.667000000000002</v>
      </c>
      <c r="H62" s="122">
        <f t="shared" si="31"/>
        <v>3173147.8451249995</v>
      </c>
      <c r="I62" s="129">
        <f t="shared" si="38"/>
        <v>-0.95281977948175234</v>
      </c>
      <c r="J62" s="138">
        <v>0.2</v>
      </c>
      <c r="K62" s="139">
        <f t="shared" si="39"/>
        <v>634629.56902499998</v>
      </c>
      <c r="L62" s="138">
        <v>0.3</v>
      </c>
      <c r="M62" s="139">
        <f t="shared" si="35"/>
        <v>951944.35353749979</v>
      </c>
      <c r="N62" s="138">
        <v>0.35</v>
      </c>
      <c r="O62" s="139">
        <f t="shared" si="36"/>
        <v>1110601.7457937498</v>
      </c>
      <c r="P62" s="140">
        <v>0.15</v>
      </c>
      <c r="Q62" s="141">
        <f t="shared" si="37"/>
        <v>475972.17676874989</v>
      </c>
    </row>
    <row r="63" spans="1:17" ht="15" x14ac:dyDescent="0.25">
      <c r="A63" s="134" t="s">
        <v>207</v>
      </c>
      <c r="B63" s="124" t="s">
        <v>184</v>
      </c>
      <c r="C63" s="150">
        <v>15459</v>
      </c>
      <c r="D63" s="150">
        <v>535.76</v>
      </c>
      <c r="E63" s="150">
        <f t="shared" si="40"/>
        <v>14923.24</v>
      </c>
      <c r="F63" s="125">
        <f t="shared" si="41"/>
        <v>15110.755999999999</v>
      </c>
      <c r="G63" s="123">
        <v>35.667000000000002</v>
      </c>
      <c r="H63" s="125">
        <f t="shared" si="31"/>
        <v>149709.81506999998</v>
      </c>
      <c r="I63" s="128">
        <f t="shared" si="38"/>
        <v>20.942197200457741</v>
      </c>
      <c r="J63" s="138">
        <v>0.2</v>
      </c>
      <c r="K63" s="139">
        <f t="shared" si="39"/>
        <v>29941.963013999997</v>
      </c>
      <c r="L63" s="138">
        <v>0.3</v>
      </c>
      <c r="M63" s="139">
        <f t="shared" si="35"/>
        <v>44912.94452099999</v>
      </c>
      <c r="N63" s="138">
        <v>0.35</v>
      </c>
      <c r="O63" s="139">
        <f t="shared" si="36"/>
        <v>52398.435274499992</v>
      </c>
      <c r="P63" s="140">
        <v>0.15</v>
      </c>
      <c r="Q63" s="141">
        <f t="shared" si="37"/>
        <v>22456.472260499995</v>
      </c>
    </row>
    <row r="64" spans="1:17" ht="15" x14ac:dyDescent="0.25">
      <c r="A64" s="134" t="s">
        <v>207</v>
      </c>
      <c r="B64" s="121" t="s">
        <v>185</v>
      </c>
      <c r="C64" s="149">
        <v>391864</v>
      </c>
      <c r="D64" s="149">
        <v>92770.48</v>
      </c>
      <c r="E64" s="149">
        <f t="shared" si="40"/>
        <v>299093.52</v>
      </c>
      <c r="F64" s="122">
        <f t="shared" si="41"/>
        <v>331563.18800000002</v>
      </c>
      <c r="G64" s="123">
        <v>35.667000000000002</v>
      </c>
      <c r="H64" s="122">
        <f t="shared" si="31"/>
        <v>3284962.2851100001</v>
      </c>
      <c r="I64" s="129">
        <f t="shared" si="38"/>
        <v>4.4744931092893382E-2</v>
      </c>
      <c r="J64" s="138">
        <v>0.2</v>
      </c>
      <c r="K64" s="139">
        <f t="shared" si="39"/>
        <v>656992.4570220001</v>
      </c>
      <c r="L64" s="138">
        <v>0.3</v>
      </c>
      <c r="M64" s="139">
        <f t="shared" si="35"/>
        <v>985488.68553299992</v>
      </c>
      <c r="N64" s="138">
        <v>0.35</v>
      </c>
      <c r="O64" s="139">
        <f t="shared" si="36"/>
        <v>1149736.7997884999</v>
      </c>
      <c r="P64" s="140">
        <v>0.15</v>
      </c>
      <c r="Q64" s="141">
        <f t="shared" si="37"/>
        <v>492744.34276649996</v>
      </c>
    </row>
    <row r="65" spans="1:17" ht="15" x14ac:dyDescent="0.25">
      <c r="A65" s="134" t="s">
        <v>207</v>
      </c>
      <c r="B65" s="124" t="s">
        <v>186</v>
      </c>
      <c r="C65" s="150">
        <v>407500</v>
      </c>
      <c r="D65" s="150">
        <v>94001.600000000006</v>
      </c>
      <c r="E65" s="150">
        <f t="shared" si="40"/>
        <v>313498.40000000002</v>
      </c>
      <c r="F65" s="125">
        <f t="shared" si="41"/>
        <v>346398.96</v>
      </c>
      <c r="G65" s="123">
        <v>35.667000000000002</v>
      </c>
      <c r="H65" s="125">
        <f t="shared" si="31"/>
        <v>3431947.6962000006</v>
      </c>
      <c r="I65" s="128">
        <f t="shared" si="38"/>
        <v>-6.9836606899743636E-2</v>
      </c>
      <c r="J65" s="138">
        <v>0.2</v>
      </c>
      <c r="K65" s="139">
        <f t="shared" si="39"/>
        <v>686389.53924000019</v>
      </c>
      <c r="L65" s="138">
        <v>0.3</v>
      </c>
      <c r="M65" s="139">
        <f t="shared" si="35"/>
        <v>1029584.3088600001</v>
      </c>
      <c r="N65" s="138">
        <v>0.35</v>
      </c>
      <c r="O65" s="139">
        <f t="shared" si="36"/>
        <v>1201181.6936700002</v>
      </c>
      <c r="P65" s="140">
        <v>0.15</v>
      </c>
      <c r="Q65" s="141">
        <f t="shared" si="37"/>
        <v>514792.15443000005</v>
      </c>
    </row>
    <row r="66" spans="1:17" ht="15" x14ac:dyDescent="0.25">
      <c r="A66" s="134" t="s">
        <v>207</v>
      </c>
      <c r="B66" s="121" t="s">
        <v>187</v>
      </c>
      <c r="C66" s="149">
        <v>348888</v>
      </c>
      <c r="D66" s="149">
        <v>41046.720000000001</v>
      </c>
      <c r="E66" s="149">
        <f t="shared" si="40"/>
        <v>307841.28000000003</v>
      </c>
      <c r="F66" s="122">
        <f t="shared" si="41"/>
        <v>322207.63200000004</v>
      </c>
      <c r="G66" s="123">
        <v>35.667000000000002</v>
      </c>
      <c r="H66" s="122">
        <f t="shared" si="31"/>
        <v>3192272.1140400004</v>
      </c>
      <c r="I66" s="129">
        <f t="shared" si="38"/>
        <v>-0.28581846875681699</v>
      </c>
      <c r="J66" s="138">
        <v>0.2</v>
      </c>
      <c r="K66" s="139">
        <f t="shared" si="39"/>
        <v>638454.42280800012</v>
      </c>
      <c r="L66" s="138">
        <v>0.3</v>
      </c>
      <c r="M66" s="139">
        <f t="shared" si="35"/>
        <v>957681.63421200006</v>
      </c>
      <c r="N66" s="138">
        <v>0.35</v>
      </c>
      <c r="O66" s="139">
        <f t="shared" si="36"/>
        <v>1117295.239914</v>
      </c>
      <c r="P66" s="140">
        <v>0.15</v>
      </c>
      <c r="Q66" s="141">
        <f t="shared" si="37"/>
        <v>478840.81710600003</v>
      </c>
    </row>
    <row r="67" spans="1:17" ht="15" x14ac:dyDescent="0.25">
      <c r="A67" s="134" t="s">
        <v>207</v>
      </c>
      <c r="B67" s="124" t="s">
        <v>188</v>
      </c>
      <c r="C67" s="150">
        <v>253112</v>
      </c>
      <c r="D67" s="150">
        <v>35380.400000000001</v>
      </c>
      <c r="E67" s="150">
        <f t="shared" si="40"/>
        <v>217731.6</v>
      </c>
      <c r="F67" s="125">
        <f t="shared" si="41"/>
        <v>230114.74</v>
      </c>
      <c r="G67" s="123">
        <v>35.667000000000002</v>
      </c>
      <c r="H67" s="125">
        <f t="shared" si="31"/>
        <v>2279861.7865500003</v>
      </c>
      <c r="I67" s="128">
        <f>(H68-H67)/H67</f>
        <v>14.771355785379068</v>
      </c>
      <c r="J67" s="138">
        <v>0.2</v>
      </c>
      <c r="K67" s="139">
        <f t="shared" si="39"/>
        <v>455972.35731000011</v>
      </c>
      <c r="L67" s="138">
        <v>0.3</v>
      </c>
      <c r="M67" s="139">
        <f t="shared" si="35"/>
        <v>683958.53596500005</v>
      </c>
      <c r="N67" s="138">
        <v>0.35</v>
      </c>
      <c r="O67" s="139">
        <f t="shared" si="36"/>
        <v>797951.62529250002</v>
      </c>
      <c r="P67" s="140">
        <v>0.15</v>
      </c>
      <c r="Q67" s="141">
        <f t="shared" si="37"/>
        <v>341979.26798250002</v>
      </c>
    </row>
    <row r="68" spans="1:17" ht="15" x14ac:dyDescent="0.25">
      <c r="A68" s="127" t="s">
        <v>208</v>
      </c>
      <c r="B68" s="126" t="s">
        <v>209</v>
      </c>
      <c r="C68" s="148">
        <v>4198510</v>
      </c>
      <c r="D68" s="148">
        <v>875828.55999999994</v>
      </c>
      <c r="E68" s="148">
        <f t="shared" ref="E68:F68" si="42">SUM(E56:E67)</f>
        <v>3322681.44</v>
      </c>
      <c r="F68" s="148">
        <f t="shared" si="42"/>
        <v>3629221.4360000007</v>
      </c>
      <c r="G68" s="123">
        <v>35.667000000000002</v>
      </c>
      <c r="H68" s="148">
        <f t="shared" ref="H68" si="43">SUM(H56:H67)</f>
        <v>35956511.377170004</v>
      </c>
      <c r="I68" s="142"/>
      <c r="J68" s="138">
        <v>0.2</v>
      </c>
      <c r="K68" s="139">
        <f>$H68*J68</f>
        <v>7191302.2754340013</v>
      </c>
      <c r="L68" s="138">
        <v>0.3</v>
      </c>
      <c r="M68" s="139">
        <f t="shared" si="35"/>
        <v>10786953.413151002</v>
      </c>
      <c r="N68" s="138">
        <v>0.35</v>
      </c>
      <c r="O68" s="139">
        <f t="shared" si="36"/>
        <v>12584778.9820095</v>
      </c>
      <c r="P68" s="140">
        <v>0.15</v>
      </c>
      <c r="Q68" s="141">
        <f t="shared" si="37"/>
        <v>5393476.7065755008</v>
      </c>
    </row>
  </sheetData>
  <mergeCells count="18">
    <mergeCell ref="J20:K20"/>
    <mergeCell ref="L20:M20"/>
    <mergeCell ref="N20:O20"/>
    <mergeCell ref="P20:Q20"/>
    <mergeCell ref="A1:B1"/>
    <mergeCell ref="J1:Q1"/>
    <mergeCell ref="J2:K2"/>
    <mergeCell ref="L2:M2"/>
    <mergeCell ref="N2:O2"/>
    <mergeCell ref="P2:Q2"/>
    <mergeCell ref="J55:K55"/>
    <mergeCell ref="L55:M55"/>
    <mergeCell ref="N55:O55"/>
    <mergeCell ref="P55:Q55"/>
    <mergeCell ref="J37:K37"/>
    <mergeCell ref="L37:M37"/>
    <mergeCell ref="N37:O37"/>
    <mergeCell ref="P37:Q37"/>
  </mergeCells>
  <phoneticPr fontId="28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67D7-68C7-407B-9BD8-CF5AC37996AC}">
  <sheetPr>
    <tabColor theme="7" tint="0.79998168889431442"/>
  </sheetPr>
  <dimension ref="A1:Q30"/>
  <sheetViews>
    <sheetView showGridLines="0" zoomScaleNormal="100" workbookViewId="0">
      <pane xSplit="4" ySplit="7" topLeftCell="E14" activePane="bottomRight" state="frozen"/>
      <selection pane="topRight" activeCell="E1" sqref="E1"/>
      <selection pane="bottomLeft" activeCell="A8" sqref="A8"/>
      <selection pane="bottomRight" activeCell="A23" sqref="A23"/>
    </sheetView>
  </sheetViews>
  <sheetFormatPr defaultColWidth="9.28515625" defaultRowHeight="15" x14ac:dyDescent="0.25"/>
  <cols>
    <col min="1" max="2" width="12.5703125" style="176" customWidth="1"/>
    <col min="3" max="4" width="18.5703125" style="176" customWidth="1"/>
    <col min="5" max="5" width="36.5703125" style="176" customWidth="1"/>
    <col min="6" max="17" width="12.5703125" style="176" customWidth="1"/>
    <col min="18" max="37" width="12.7109375" style="176" customWidth="1"/>
    <col min="38" max="16384" width="9.28515625" style="176"/>
  </cols>
  <sheetData>
    <row r="1" spans="1:17" s="175" customFormat="1" ht="18.75" x14ac:dyDescent="0.3">
      <c r="A1" s="174" t="s">
        <v>237</v>
      </c>
      <c r="B1" s="174"/>
      <c r="C1" s="174"/>
      <c r="D1" s="174"/>
    </row>
    <row r="2" spans="1:17" ht="15.75" thickBot="1" x14ac:dyDescent="0.3"/>
    <row r="3" spans="1:17" s="181" customFormat="1" x14ac:dyDescent="0.2">
      <c r="A3" s="177"/>
      <c r="B3" s="178"/>
      <c r="C3" s="178"/>
      <c r="D3" s="179" t="s">
        <v>238</v>
      </c>
      <c r="E3" s="180" t="s">
        <v>161</v>
      </c>
      <c r="F3" s="367" t="s">
        <v>162</v>
      </c>
      <c r="G3" s="368"/>
      <c r="H3" s="369"/>
      <c r="I3" s="367" t="s">
        <v>163</v>
      </c>
      <c r="J3" s="368"/>
      <c r="K3" s="369"/>
      <c r="L3" s="367">
        <v>4</v>
      </c>
      <c r="M3" s="368"/>
      <c r="N3" s="369"/>
      <c r="O3" s="367">
        <v>2</v>
      </c>
      <c r="P3" s="368"/>
      <c r="Q3" s="369"/>
    </row>
    <row r="4" spans="1:17" s="181" customFormat="1" ht="25.5" customHeight="1" x14ac:dyDescent="0.2">
      <c r="A4" s="182"/>
      <c r="B4" s="183"/>
      <c r="C4" s="183"/>
      <c r="D4" s="184" t="s">
        <v>239</v>
      </c>
      <c r="E4" s="185" t="s">
        <v>20</v>
      </c>
      <c r="F4" s="364" t="s">
        <v>91</v>
      </c>
      <c r="G4" s="365"/>
      <c r="H4" s="366"/>
      <c r="I4" s="364" t="s">
        <v>240</v>
      </c>
      <c r="J4" s="365"/>
      <c r="K4" s="366"/>
      <c r="L4" s="364" t="s">
        <v>241</v>
      </c>
      <c r="M4" s="365"/>
      <c r="N4" s="366"/>
      <c r="O4" s="364" t="s">
        <v>256</v>
      </c>
      <c r="P4" s="365"/>
      <c r="Q4" s="366"/>
    </row>
    <row r="5" spans="1:17" s="181" customFormat="1" ht="50.1" customHeight="1" thickBot="1" x14ac:dyDescent="0.25">
      <c r="A5" s="186"/>
      <c r="B5" s="187"/>
      <c r="C5" s="187"/>
      <c r="D5" s="188" t="s">
        <v>242</v>
      </c>
      <c r="E5" s="189" t="s">
        <v>90</v>
      </c>
      <c r="F5" s="190" t="s">
        <v>88</v>
      </c>
      <c r="G5" s="191" t="s">
        <v>89</v>
      </c>
      <c r="H5" s="192" t="s">
        <v>125</v>
      </c>
      <c r="I5" s="190" t="s">
        <v>88</v>
      </c>
      <c r="J5" s="191" t="s">
        <v>89</v>
      </c>
      <c r="K5" s="192" t="s">
        <v>125</v>
      </c>
      <c r="L5" s="190" t="s">
        <v>88</v>
      </c>
      <c r="M5" s="191" t="s">
        <v>89</v>
      </c>
      <c r="N5" s="192" t="s">
        <v>125</v>
      </c>
      <c r="O5" s="190" t="s">
        <v>88</v>
      </c>
      <c r="P5" s="191" t="s">
        <v>89</v>
      </c>
      <c r="Q5" s="192" t="s">
        <v>125</v>
      </c>
    </row>
    <row r="6" spans="1:17" s="181" customFormat="1" ht="17.25" x14ac:dyDescent="0.2">
      <c r="A6" s="193"/>
      <c r="B6" s="194"/>
      <c r="C6" s="195"/>
      <c r="D6" s="196" t="s">
        <v>243</v>
      </c>
      <c r="E6" s="197" t="s">
        <v>36</v>
      </c>
      <c r="F6" s="198" t="s">
        <v>36</v>
      </c>
      <c r="G6" s="199" t="s">
        <v>244</v>
      </c>
      <c r="H6" s="200" t="s">
        <v>36</v>
      </c>
      <c r="I6" s="198" t="s">
        <v>36</v>
      </c>
      <c r="J6" s="199" t="s">
        <v>244</v>
      </c>
      <c r="K6" s="200" t="s">
        <v>36</v>
      </c>
      <c r="L6" s="198" t="s">
        <v>36</v>
      </c>
      <c r="M6" s="199" t="s">
        <v>244</v>
      </c>
      <c r="N6" s="200" t="s">
        <v>36</v>
      </c>
      <c r="O6" s="198" t="s">
        <v>36</v>
      </c>
      <c r="P6" s="199" t="s">
        <v>244</v>
      </c>
      <c r="Q6" s="200" t="s">
        <v>36</v>
      </c>
    </row>
    <row r="7" spans="1:17" s="208" customFormat="1" x14ac:dyDescent="0.2">
      <c r="A7" s="201" t="s">
        <v>35</v>
      </c>
      <c r="B7" s="202" t="s">
        <v>43</v>
      </c>
      <c r="C7" s="201" t="s">
        <v>245</v>
      </c>
      <c r="D7" s="203" t="s">
        <v>246</v>
      </c>
      <c r="E7" s="204">
        <v>5</v>
      </c>
      <c r="F7" s="205">
        <v>5</v>
      </c>
      <c r="G7" s="206">
        <v>150</v>
      </c>
      <c r="H7" s="207">
        <v>100</v>
      </c>
      <c r="I7" s="205">
        <v>2</v>
      </c>
      <c r="J7" s="206">
        <v>90</v>
      </c>
      <c r="K7" s="207">
        <v>120</v>
      </c>
      <c r="L7" s="205">
        <v>5</v>
      </c>
      <c r="M7" s="206">
        <v>100</v>
      </c>
      <c r="N7" s="207">
        <v>100</v>
      </c>
      <c r="O7" s="205">
        <v>5</v>
      </c>
      <c r="P7" s="206">
        <v>100</v>
      </c>
      <c r="Q7" s="207">
        <v>100</v>
      </c>
    </row>
    <row r="8" spans="1:17" s="181" customFormat="1" x14ac:dyDescent="0.2">
      <c r="A8" s="209">
        <v>44589</v>
      </c>
      <c r="B8" s="210" t="s">
        <v>110</v>
      </c>
      <c r="C8" s="209" t="s">
        <v>247</v>
      </c>
      <c r="D8" s="215"/>
      <c r="E8" s="211"/>
      <c r="F8" s="212"/>
      <c r="G8" s="213"/>
      <c r="H8" s="214"/>
      <c r="I8" s="212"/>
      <c r="J8" s="213"/>
      <c r="K8" s="214"/>
      <c r="L8" s="212"/>
      <c r="M8" s="213">
        <v>74</v>
      </c>
      <c r="N8" s="214">
        <v>6</v>
      </c>
      <c r="O8" s="212"/>
    </row>
    <row r="9" spans="1:17" s="181" customFormat="1" x14ac:dyDescent="0.2">
      <c r="A9" s="209">
        <v>44834</v>
      </c>
      <c r="B9" s="210" t="s">
        <v>110</v>
      </c>
      <c r="C9" s="209" t="s">
        <v>254</v>
      </c>
      <c r="D9" s="215"/>
      <c r="E9" s="211"/>
      <c r="F9" s="212"/>
      <c r="G9" s="213"/>
      <c r="H9" s="214"/>
      <c r="I9" s="212"/>
      <c r="J9" s="213"/>
      <c r="K9" s="214"/>
      <c r="L9" s="212"/>
      <c r="M9" s="213"/>
      <c r="N9" s="214"/>
      <c r="O9" s="212"/>
      <c r="P9" s="213"/>
      <c r="Q9" s="214"/>
    </row>
    <row r="10" spans="1:17" s="181" customFormat="1" x14ac:dyDescent="0.2">
      <c r="A10" s="209">
        <v>44894</v>
      </c>
      <c r="B10" s="210" t="s">
        <v>110</v>
      </c>
      <c r="C10" s="209" t="s">
        <v>255</v>
      </c>
      <c r="D10" s="215"/>
      <c r="E10" s="211"/>
      <c r="F10" s="212"/>
      <c r="G10" s="213">
        <v>108</v>
      </c>
      <c r="H10" s="214">
        <v>1</v>
      </c>
      <c r="I10" s="212"/>
      <c r="J10" s="213"/>
      <c r="K10" s="214"/>
      <c r="L10" s="212"/>
      <c r="M10" s="213"/>
      <c r="N10" s="214"/>
      <c r="O10" s="212"/>
      <c r="P10" s="213"/>
      <c r="Q10" s="214"/>
    </row>
    <row r="11" spans="1:17" s="181" customFormat="1" x14ac:dyDescent="0.2">
      <c r="A11" s="209">
        <v>45042</v>
      </c>
      <c r="B11" s="210" t="s">
        <v>110</v>
      </c>
      <c r="C11" s="216" t="s">
        <v>213</v>
      </c>
      <c r="D11" s="215"/>
      <c r="E11" s="211"/>
      <c r="F11" s="212"/>
      <c r="G11" s="213">
        <v>92</v>
      </c>
      <c r="H11" s="214">
        <v>1</v>
      </c>
      <c r="I11" s="212"/>
      <c r="J11" s="213"/>
      <c r="K11" s="214"/>
      <c r="L11" s="212"/>
      <c r="M11" s="213">
        <v>64</v>
      </c>
      <c r="N11" s="214">
        <v>12</v>
      </c>
      <c r="O11" s="212"/>
      <c r="P11" s="213">
        <v>60</v>
      </c>
      <c r="Q11" s="214">
        <v>6</v>
      </c>
    </row>
    <row r="12" spans="1:17" s="181" customFormat="1" x14ac:dyDescent="0.2">
      <c r="A12" s="209">
        <v>45093</v>
      </c>
      <c r="B12" s="210" t="s">
        <v>110</v>
      </c>
      <c r="C12" s="216" t="s">
        <v>198</v>
      </c>
      <c r="D12" s="215"/>
      <c r="E12" s="211"/>
      <c r="F12" s="212"/>
      <c r="G12" s="213"/>
      <c r="H12" s="214"/>
      <c r="I12" s="212"/>
      <c r="J12" s="213">
        <v>83</v>
      </c>
      <c r="K12" s="214">
        <v>80</v>
      </c>
      <c r="L12" s="212"/>
      <c r="M12" s="213"/>
      <c r="N12" s="214"/>
      <c r="O12" s="212"/>
      <c r="P12" s="213"/>
      <c r="Q12" s="214"/>
    </row>
    <row r="13" spans="1:17" s="181" customFormat="1" x14ac:dyDescent="0.2">
      <c r="A13" s="209">
        <v>45209</v>
      </c>
      <c r="B13" s="210" t="s">
        <v>110</v>
      </c>
      <c r="C13" s="216" t="s">
        <v>199</v>
      </c>
      <c r="D13" s="215"/>
      <c r="E13" s="211">
        <v>0.2</v>
      </c>
      <c r="F13" s="212"/>
      <c r="G13" s="213"/>
      <c r="H13" s="214"/>
      <c r="I13" s="212"/>
      <c r="J13" s="213"/>
      <c r="K13" s="214"/>
      <c r="L13" s="212"/>
      <c r="M13" s="213"/>
      <c r="N13" s="214"/>
      <c r="O13" s="212"/>
      <c r="P13" s="213"/>
      <c r="Q13" s="214"/>
    </row>
    <row r="14" spans="1:17" s="181" customFormat="1" x14ac:dyDescent="0.2">
      <c r="A14" s="209">
        <v>45400</v>
      </c>
      <c r="B14" s="210" t="s">
        <v>110</v>
      </c>
      <c r="C14" s="209" t="s">
        <v>248</v>
      </c>
      <c r="D14" s="215"/>
      <c r="E14" s="211"/>
      <c r="F14" s="212"/>
      <c r="G14" s="213">
        <v>136</v>
      </c>
      <c r="H14" s="214">
        <v>1</v>
      </c>
      <c r="I14" s="212"/>
      <c r="J14" s="213"/>
      <c r="K14" s="214"/>
      <c r="L14" s="212"/>
      <c r="M14" s="213"/>
      <c r="N14" s="214"/>
      <c r="O14" s="212"/>
      <c r="P14" s="213"/>
      <c r="Q14" s="214"/>
    </row>
    <row r="15" spans="1:17" s="181" customFormat="1" x14ac:dyDescent="0.2">
      <c r="A15" s="209">
        <v>45400</v>
      </c>
      <c r="B15" s="210" t="s">
        <v>110</v>
      </c>
      <c r="C15" s="209" t="s">
        <v>249</v>
      </c>
      <c r="D15" s="215"/>
      <c r="E15" s="211"/>
      <c r="F15" s="212"/>
      <c r="G15" s="213"/>
      <c r="H15" s="214"/>
      <c r="I15" s="212"/>
      <c r="J15" s="213"/>
      <c r="K15" s="214"/>
      <c r="L15" s="212"/>
      <c r="M15" s="213">
        <v>89</v>
      </c>
      <c r="N15" s="214">
        <v>5</v>
      </c>
      <c r="O15" s="212"/>
      <c r="P15" s="213"/>
      <c r="Q15" s="214"/>
    </row>
    <row r="16" spans="1:17" s="181" customFormat="1" x14ac:dyDescent="0.2">
      <c r="A16" s="209">
        <v>45400</v>
      </c>
      <c r="B16" s="210" t="s">
        <v>110</v>
      </c>
      <c r="C16" s="209" t="s">
        <v>250</v>
      </c>
      <c r="D16" s="215"/>
      <c r="E16" s="211"/>
      <c r="F16" s="212"/>
      <c r="G16" s="213"/>
      <c r="H16" s="214"/>
      <c r="I16" s="212"/>
      <c r="J16" s="213"/>
      <c r="K16" s="214"/>
      <c r="L16" s="212"/>
      <c r="M16" s="213"/>
      <c r="N16" s="214"/>
      <c r="O16" s="212"/>
      <c r="P16" s="213">
        <v>93</v>
      </c>
      <c r="Q16" s="214">
        <v>11</v>
      </c>
    </row>
    <row r="17" spans="1:17" s="181" customFormat="1" x14ac:dyDescent="0.2">
      <c r="A17" s="209">
        <v>45434</v>
      </c>
      <c r="B17" s="210" t="s">
        <v>110</v>
      </c>
      <c r="C17" s="209" t="s">
        <v>210</v>
      </c>
      <c r="D17" s="215"/>
      <c r="E17" s="211"/>
      <c r="F17" s="212"/>
      <c r="G17" s="213"/>
      <c r="H17" s="214"/>
      <c r="I17" s="212"/>
      <c r="J17" s="213">
        <v>85</v>
      </c>
      <c r="K17" s="214">
        <v>116</v>
      </c>
      <c r="L17" s="212"/>
      <c r="M17" s="213"/>
      <c r="N17" s="214"/>
      <c r="O17" s="212"/>
      <c r="P17" s="213"/>
      <c r="Q17" s="214"/>
    </row>
    <row r="18" spans="1:17" s="181" customFormat="1" x14ac:dyDescent="0.2">
      <c r="A18" s="209">
        <v>45769</v>
      </c>
      <c r="B18" s="210" t="s">
        <v>110</v>
      </c>
      <c r="C18" s="209" t="s">
        <v>251</v>
      </c>
      <c r="D18" s="215"/>
      <c r="E18" s="211"/>
      <c r="F18" s="212"/>
      <c r="G18" s="213">
        <v>131</v>
      </c>
      <c r="H18" s="214">
        <v>1</v>
      </c>
      <c r="I18" s="212"/>
      <c r="J18" s="213"/>
      <c r="K18" s="214"/>
      <c r="L18" s="212"/>
      <c r="M18" s="213"/>
      <c r="N18" s="214"/>
      <c r="O18" s="212"/>
      <c r="P18" s="213"/>
      <c r="Q18" s="214"/>
    </row>
    <row r="19" spans="1:17" s="181" customFormat="1" x14ac:dyDescent="0.2">
      <c r="A19" s="209">
        <v>45769</v>
      </c>
      <c r="B19" s="210" t="s">
        <v>110</v>
      </c>
      <c r="C19" s="209" t="s">
        <v>252</v>
      </c>
      <c r="D19" s="215"/>
      <c r="E19" s="211"/>
      <c r="F19" s="212"/>
      <c r="G19" s="213"/>
      <c r="H19" s="214"/>
      <c r="I19" s="212"/>
      <c r="J19" s="213"/>
      <c r="K19" s="214"/>
      <c r="L19" s="212"/>
      <c r="M19" s="213">
        <v>93</v>
      </c>
      <c r="N19" s="214">
        <v>14</v>
      </c>
      <c r="O19" s="212"/>
      <c r="P19" s="213"/>
      <c r="Q19" s="214"/>
    </row>
    <row r="20" spans="1:17" s="181" customFormat="1" x14ac:dyDescent="0.2">
      <c r="A20" s="209">
        <v>45769</v>
      </c>
      <c r="B20" s="210" t="s">
        <v>110</v>
      </c>
      <c r="C20" s="209" t="s">
        <v>253</v>
      </c>
      <c r="D20" s="215"/>
      <c r="E20" s="211"/>
      <c r="F20" s="212"/>
      <c r="G20" s="213"/>
      <c r="H20" s="214"/>
      <c r="I20" s="212"/>
      <c r="J20" s="213"/>
      <c r="K20" s="214"/>
      <c r="L20" s="212"/>
      <c r="M20" s="213"/>
      <c r="N20" s="214"/>
      <c r="O20" s="212"/>
      <c r="P20" s="213">
        <v>85</v>
      </c>
      <c r="Q20" s="214">
        <v>15</v>
      </c>
    </row>
    <row r="21" spans="1:17" s="181" customFormat="1" x14ac:dyDescent="0.2">
      <c r="A21" s="209">
        <v>45807</v>
      </c>
      <c r="B21" s="210" t="s">
        <v>110</v>
      </c>
      <c r="C21" s="209" t="s">
        <v>211</v>
      </c>
      <c r="D21" s="215"/>
      <c r="E21" s="211"/>
      <c r="F21" s="212"/>
      <c r="G21" s="213"/>
      <c r="H21" s="214"/>
      <c r="I21" s="212"/>
      <c r="J21" s="213">
        <v>58.3</v>
      </c>
      <c r="K21" s="214">
        <v>39.5</v>
      </c>
      <c r="L21" s="212"/>
      <c r="M21" s="213"/>
      <c r="N21" s="214"/>
      <c r="O21" s="212"/>
      <c r="P21" s="213"/>
      <c r="Q21" s="214"/>
    </row>
    <row r="22" spans="1:17" s="181" customFormat="1" x14ac:dyDescent="0.2">
      <c r="A22" s="209">
        <v>45952</v>
      </c>
      <c r="B22" s="210" t="s">
        <v>110</v>
      </c>
      <c r="C22" s="209" t="s">
        <v>212</v>
      </c>
      <c r="D22" s="215"/>
      <c r="E22" s="211">
        <v>0.1</v>
      </c>
      <c r="F22" s="212"/>
      <c r="G22" s="213"/>
      <c r="H22" s="214"/>
      <c r="I22" s="212"/>
      <c r="J22" s="213"/>
      <c r="K22" s="214"/>
      <c r="L22" s="212"/>
      <c r="M22" s="213"/>
      <c r="N22" s="214"/>
      <c r="O22" s="212"/>
      <c r="P22" s="213"/>
      <c r="Q22" s="214"/>
    </row>
    <row r="23" spans="1:17" s="181" customFormat="1" x14ac:dyDescent="0.2">
      <c r="A23" s="209"/>
      <c r="B23" s="210"/>
      <c r="C23" s="209"/>
      <c r="D23" s="215"/>
      <c r="E23" s="211"/>
      <c r="F23" s="212"/>
      <c r="G23" s="213"/>
      <c r="H23" s="214"/>
      <c r="I23" s="212"/>
      <c r="J23" s="213"/>
      <c r="K23" s="214"/>
      <c r="L23" s="212"/>
      <c r="M23" s="213"/>
      <c r="N23" s="214"/>
      <c r="O23" s="212"/>
      <c r="P23" s="213"/>
      <c r="Q23" s="214"/>
    </row>
    <row r="24" spans="1:17" s="181" customFormat="1" x14ac:dyDescent="0.2">
      <c r="A24" s="209"/>
      <c r="B24" s="210"/>
      <c r="C24" s="209"/>
      <c r="D24" s="215"/>
      <c r="E24" s="211"/>
      <c r="F24" s="212"/>
      <c r="G24" s="213"/>
      <c r="H24" s="214"/>
      <c r="I24" s="212"/>
      <c r="J24" s="213"/>
      <c r="K24" s="214"/>
      <c r="L24" s="212"/>
      <c r="M24" s="213"/>
      <c r="N24" s="214"/>
      <c r="O24" s="212"/>
      <c r="P24" s="213"/>
      <c r="Q24" s="214"/>
    </row>
    <row r="25" spans="1:17" s="181" customFormat="1" x14ac:dyDescent="0.2">
      <c r="A25" s="209"/>
      <c r="B25" s="210"/>
      <c r="C25" s="209"/>
      <c r="D25" s="215"/>
      <c r="E25" s="211"/>
      <c r="F25" s="212"/>
      <c r="G25" s="213"/>
      <c r="H25" s="214"/>
      <c r="I25" s="212"/>
      <c r="J25" s="213"/>
      <c r="K25" s="214"/>
      <c r="L25" s="212"/>
      <c r="M25" s="213"/>
      <c r="N25" s="214"/>
      <c r="O25" s="212"/>
      <c r="P25" s="213"/>
      <c r="Q25" s="214"/>
    </row>
    <row r="26" spans="1:17" s="181" customFormat="1" x14ac:dyDescent="0.2">
      <c r="A26" s="209"/>
      <c r="B26" s="210"/>
      <c r="C26" s="209"/>
      <c r="D26" s="215"/>
      <c r="E26" s="211"/>
      <c r="F26" s="212"/>
      <c r="G26" s="213"/>
      <c r="H26" s="214"/>
      <c r="I26" s="212"/>
      <c r="J26" s="213"/>
      <c r="K26" s="214"/>
      <c r="L26" s="212"/>
      <c r="M26" s="213"/>
      <c r="N26" s="214"/>
      <c r="O26" s="212"/>
      <c r="P26" s="213"/>
      <c r="Q26" s="214"/>
    </row>
    <row r="27" spans="1:17" s="181" customFormat="1" x14ac:dyDescent="0.2">
      <c r="A27" s="209"/>
      <c r="B27" s="210"/>
      <c r="C27" s="209"/>
      <c r="D27" s="215"/>
      <c r="E27" s="211"/>
      <c r="F27" s="212"/>
      <c r="G27" s="213"/>
      <c r="H27" s="214"/>
      <c r="I27" s="212"/>
      <c r="J27" s="213"/>
      <c r="K27" s="214"/>
      <c r="L27" s="212"/>
      <c r="M27" s="213"/>
      <c r="N27" s="214"/>
      <c r="O27" s="212"/>
      <c r="P27" s="213"/>
      <c r="Q27" s="214"/>
    </row>
    <row r="28" spans="1:17" s="181" customFormat="1" x14ac:dyDescent="0.2">
      <c r="A28" s="209"/>
      <c r="B28" s="210"/>
      <c r="C28" s="209"/>
      <c r="D28" s="215"/>
      <c r="E28" s="211"/>
      <c r="F28" s="212"/>
      <c r="G28" s="213"/>
      <c r="H28" s="214"/>
      <c r="I28" s="212"/>
      <c r="J28" s="213"/>
      <c r="K28" s="214"/>
      <c r="L28" s="212"/>
      <c r="M28" s="213"/>
      <c r="N28" s="214"/>
      <c r="O28" s="212"/>
      <c r="P28" s="213"/>
      <c r="Q28" s="214"/>
    </row>
    <row r="29" spans="1:17" s="181" customFormat="1" x14ac:dyDescent="0.2">
      <c r="A29" s="209"/>
      <c r="B29" s="210"/>
      <c r="C29" s="209"/>
      <c r="D29" s="215"/>
      <c r="E29" s="211"/>
      <c r="F29" s="212"/>
      <c r="G29" s="213"/>
      <c r="H29" s="214"/>
      <c r="I29" s="212"/>
      <c r="J29" s="213"/>
      <c r="K29" s="214"/>
      <c r="L29" s="212"/>
      <c r="M29" s="213"/>
      <c r="N29" s="214"/>
      <c r="O29" s="212"/>
      <c r="P29" s="213"/>
      <c r="Q29" s="214"/>
    </row>
    <row r="30" spans="1:17" s="181" customFormat="1" x14ac:dyDescent="0.2">
      <c r="A30" s="209"/>
      <c r="B30" s="210"/>
      <c r="C30" s="209"/>
      <c r="D30" s="215"/>
      <c r="E30" s="211"/>
      <c r="F30" s="212"/>
      <c r="G30" s="213"/>
      <c r="H30" s="214"/>
      <c r="I30" s="212"/>
      <c r="J30" s="213"/>
      <c r="K30" s="214"/>
      <c r="L30" s="212"/>
      <c r="M30" s="213"/>
      <c r="N30" s="214"/>
      <c r="O30" s="212"/>
      <c r="P30" s="213"/>
      <c r="Q30" s="214"/>
    </row>
  </sheetData>
  <mergeCells count="8">
    <mergeCell ref="F4:H4"/>
    <mergeCell ref="I4:K4"/>
    <mergeCell ref="L4:N4"/>
    <mergeCell ref="O4:Q4"/>
    <mergeCell ref="F3:H3"/>
    <mergeCell ref="I3:K3"/>
    <mergeCell ref="L3:N3"/>
    <mergeCell ref="O3:Q3"/>
  </mergeCells>
  <conditionalFormatting sqref="F8:O8 F9:Q30">
    <cfRule type="cellIs" dxfId="2" priority="1" operator="greaterThan">
      <formula>F$7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5" fitToWidth="3" orientation="landscape" r:id="rId1"/>
  <headerFooter>
    <oddFooter>&amp;L&amp;F&amp;C&amp;A&amp;RPagina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4286F-2042-4754-BE89-3577FB79E9A5}">
  <sheetPr>
    <tabColor theme="5" tint="0.79998168889431442"/>
  </sheetPr>
  <dimension ref="A1:AB77"/>
  <sheetViews>
    <sheetView showGridLines="0" zoomScaleNormal="100" workbookViewId="0">
      <pane xSplit="4" ySplit="6" topLeftCell="E52" activePane="bottomRight" state="frozen"/>
      <selection pane="topRight" activeCell="E1" sqref="E1"/>
      <selection pane="bottomLeft" activeCell="A7" sqref="A7"/>
      <selection pane="bottomRight" activeCell="T57" sqref="T57"/>
    </sheetView>
  </sheetViews>
  <sheetFormatPr defaultColWidth="9.28515625" defaultRowHeight="15" x14ac:dyDescent="0.25"/>
  <cols>
    <col min="1" max="1" width="14.7109375" style="218" customWidth="1"/>
    <col min="2" max="2" width="12.7109375" style="218" customWidth="1"/>
    <col min="3" max="3" width="15" style="218" bestFit="1" customWidth="1"/>
    <col min="4" max="4" width="12.7109375" style="218" customWidth="1"/>
    <col min="5" max="6" width="7.42578125" style="218" bestFit="1" customWidth="1"/>
    <col min="7" max="8" width="7.42578125" style="218" customWidth="1"/>
    <col min="9" max="9" width="8.28515625" style="218" bestFit="1" customWidth="1"/>
    <col min="10" max="10" width="8.42578125" style="218" bestFit="1" customWidth="1"/>
    <col min="11" max="15" width="7.42578125" style="218" bestFit="1" customWidth="1"/>
    <col min="16" max="16" width="8.5703125" style="218" bestFit="1" customWidth="1"/>
    <col min="17" max="17" width="8.28515625" style="218" hidden="1" customWidth="1"/>
    <col min="18" max="18" width="7.42578125" style="218" bestFit="1" customWidth="1"/>
    <col min="19" max="21" width="8.5703125" style="218" bestFit="1" customWidth="1"/>
    <col min="22" max="22" width="12.28515625" style="218" bestFit="1" customWidth="1"/>
    <col min="23" max="23" width="8.28515625" style="218" bestFit="1" customWidth="1"/>
    <col min="24" max="24" width="12.7109375" style="218" hidden="1" customWidth="1"/>
    <col min="25" max="25" width="7.42578125" style="218" bestFit="1" customWidth="1"/>
    <col min="26" max="26" width="12.7109375" style="218" hidden="1" customWidth="1"/>
    <col min="27" max="50" width="12.7109375" style="218" customWidth="1"/>
    <col min="51" max="16384" width="9.28515625" style="218"/>
  </cols>
  <sheetData>
    <row r="1" spans="1:28" ht="19.5" thickBot="1" x14ac:dyDescent="0.35">
      <c r="A1" s="217" t="s">
        <v>257</v>
      </c>
      <c r="C1" s="219"/>
      <c r="D1" s="220" t="s">
        <v>258</v>
      </c>
    </row>
    <row r="2" spans="1:28" ht="15.75" thickBot="1" x14ac:dyDescent="0.3">
      <c r="A2" s="221" t="s">
        <v>259</v>
      </c>
    </row>
    <row r="3" spans="1:28" ht="70.349999999999994" customHeight="1" thickBot="1" x14ac:dyDescent="0.3">
      <c r="A3" s="222"/>
      <c r="B3" s="223"/>
      <c r="C3" s="223"/>
      <c r="D3" s="224" t="s">
        <v>242</v>
      </c>
      <c r="E3" s="225" t="s">
        <v>260</v>
      </c>
      <c r="F3" s="226" t="s">
        <v>37</v>
      </c>
      <c r="G3" s="226" t="s">
        <v>261</v>
      </c>
      <c r="H3" s="226" t="s">
        <v>262</v>
      </c>
      <c r="I3" s="226" t="s">
        <v>38</v>
      </c>
      <c r="J3" s="226" t="s">
        <v>39</v>
      </c>
      <c r="K3" s="226" t="s">
        <v>40</v>
      </c>
      <c r="L3" s="226" t="s">
        <v>46</v>
      </c>
      <c r="M3" s="226" t="s">
        <v>41</v>
      </c>
      <c r="N3" s="226" t="s">
        <v>44</v>
      </c>
      <c r="O3" s="226" t="s">
        <v>45</v>
      </c>
      <c r="P3" s="227" t="s">
        <v>263</v>
      </c>
      <c r="Q3" s="228" t="s">
        <v>264</v>
      </c>
      <c r="R3" s="226" t="s">
        <v>47</v>
      </c>
      <c r="S3" s="227" t="s">
        <v>265</v>
      </c>
      <c r="T3" s="227" t="s">
        <v>266</v>
      </c>
      <c r="U3" s="227" t="s">
        <v>267</v>
      </c>
      <c r="V3" s="227" t="s">
        <v>268</v>
      </c>
      <c r="W3" s="229" t="s">
        <v>269</v>
      </c>
      <c r="X3" s="230" t="s">
        <v>270</v>
      </c>
      <c r="Y3" s="226" t="s">
        <v>164</v>
      </c>
      <c r="Z3" s="230" t="s">
        <v>271</v>
      </c>
      <c r="AA3" s="226" t="s">
        <v>165</v>
      </c>
      <c r="AB3" s="231" t="s">
        <v>166</v>
      </c>
    </row>
    <row r="4" spans="1:28" ht="18" x14ac:dyDescent="0.25">
      <c r="A4" s="232"/>
      <c r="B4" s="233"/>
      <c r="C4" s="234"/>
      <c r="D4" s="235" t="s">
        <v>243</v>
      </c>
      <c r="E4" s="236" t="s">
        <v>42</v>
      </c>
      <c r="F4" s="237" t="s">
        <v>42</v>
      </c>
      <c r="G4" s="237" t="s">
        <v>42</v>
      </c>
      <c r="H4" s="237" t="s">
        <v>42</v>
      </c>
      <c r="I4" s="237" t="s">
        <v>272</v>
      </c>
      <c r="J4" s="237" t="s">
        <v>42</v>
      </c>
      <c r="K4" s="237" t="s">
        <v>42</v>
      </c>
      <c r="L4" s="237" t="s">
        <v>42</v>
      </c>
      <c r="M4" s="237" t="s">
        <v>42</v>
      </c>
      <c r="N4" s="237" t="s">
        <v>42</v>
      </c>
      <c r="O4" s="237" t="s">
        <v>42</v>
      </c>
      <c r="P4" s="237" t="s">
        <v>42</v>
      </c>
      <c r="Q4" s="237" t="s">
        <v>42</v>
      </c>
      <c r="R4" s="237" t="s">
        <v>42</v>
      </c>
      <c r="S4" s="237" t="s">
        <v>42</v>
      </c>
      <c r="T4" s="237" t="s">
        <v>42</v>
      </c>
      <c r="U4" s="237" t="s">
        <v>42</v>
      </c>
      <c r="V4" s="237" t="s">
        <v>42</v>
      </c>
      <c r="W4" s="237" t="s">
        <v>42</v>
      </c>
      <c r="X4" s="237" t="s">
        <v>42</v>
      </c>
      <c r="Y4" s="237" t="s">
        <v>42</v>
      </c>
      <c r="Z4" s="237" t="s">
        <v>42</v>
      </c>
      <c r="AA4" s="237" t="s">
        <v>42</v>
      </c>
      <c r="AB4" s="238" t="s">
        <v>42</v>
      </c>
    </row>
    <row r="5" spans="1:28" x14ac:dyDescent="0.25">
      <c r="A5" s="370" t="s">
        <v>273</v>
      </c>
      <c r="B5" s="239" t="s">
        <v>43</v>
      </c>
      <c r="C5" s="240" t="s">
        <v>245</v>
      </c>
      <c r="D5" s="241" t="s">
        <v>246</v>
      </c>
      <c r="E5" s="242">
        <v>80</v>
      </c>
      <c r="F5" s="243">
        <v>160</v>
      </c>
      <c r="G5" s="243">
        <v>250</v>
      </c>
      <c r="H5" s="243">
        <v>15</v>
      </c>
      <c r="I5" s="243">
        <v>15</v>
      </c>
      <c r="J5" s="243">
        <v>20</v>
      </c>
      <c r="K5" s="243">
        <v>0.6</v>
      </c>
      <c r="L5" s="243">
        <v>10</v>
      </c>
      <c r="M5" s="243">
        <v>2</v>
      </c>
      <c r="N5" s="243" t="s">
        <v>274</v>
      </c>
      <c r="O5" s="243" t="s">
        <v>275</v>
      </c>
      <c r="P5" s="243" t="s">
        <v>275</v>
      </c>
      <c r="Q5" s="243">
        <v>0.2</v>
      </c>
      <c r="R5" s="244">
        <v>2</v>
      </c>
      <c r="S5" s="244">
        <v>0.8</v>
      </c>
      <c r="T5" s="245" t="s">
        <v>276</v>
      </c>
      <c r="U5" s="244">
        <v>7</v>
      </c>
      <c r="V5" s="244"/>
      <c r="W5" s="244">
        <v>1.2</v>
      </c>
      <c r="X5" s="243">
        <v>0.02</v>
      </c>
      <c r="Y5" s="243">
        <v>2</v>
      </c>
      <c r="Z5" s="243">
        <v>0.2</v>
      </c>
      <c r="AA5" s="243">
        <v>0.1</v>
      </c>
      <c r="AB5" s="246">
        <v>0.5</v>
      </c>
    </row>
    <row r="6" spans="1:28" ht="24.6" customHeight="1" thickBot="1" x14ac:dyDescent="0.3">
      <c r="A6" s="371"/>
      <c r="B6" s="247"/>
      <c r="C6" s="248"/>
      <c r="D6" s="249" t="s">
        <v>277</v>
      </c>
      <c r="E6" s="250">
        <v>5</v>
      </c>
      <c r="F6" s="251">
        <v>6.9</v>
      </c>
      <c r="G6" s="251">
        <v>5</v>
      </c>
      <c r="H6" s="251">
        <v>0.1</v>
      </c>
      <c r="I6" s="251">
        <v>0.1</v>
      </c>
      <c r="J6" s="251">
        <v>6.3E-2</v>
      </c>
      <c r="K6" s="251">
        <v>0.02</v>
      </c>
      <c r="L6" s="251">
        <v>0.01</v>
      </c>
      <c r="M6" s="251">
        <v>0.25</v>
      </c>
      <c r="N6" s="251">
        <v>0.1</v>
      </c>
      <c r="O6" s="251">
        <v>0.2</v>
      </c>
      <c r="P6" s="251">
        <v>0</v>
      </c>
      <c r="Q6" s="251">
        <v>5.0000000000000001E-4</v>
      </c>
      <c r="R6" s="252">
        <v>5.0000000000000001E-4</v>
      </c>
      <c r="S6" s="252">
        <v>0.05</v>
      </c>
      <c r="T6" s="252"/>
      <c r="U6" s="252">
        <v>0.02</v>
      </c>
      <c r="V6" s="252"/>
      <c r="W6" s="252">
        <v>5.0000000000000001E-4</v>
      </c>
      <c r="X6" s="251">
        <v>5.0000000000000001E-4</v>
      </c>
      <c r="Y6" s="251">
        <v>5.0000000000000001E-4</v>
      </c>
      <c r="Z6" s="251">
        <v>5.0000000000000001E-4</v>
      </c>
      <c r="AA6" s="251">
        <v>5.0000000000000001E-3</v>
      </c>
      <c r="AB6" s="253">
        <v>5.0000000000000001E-3</v>
      </c>
    </row>
    <row r="7" spans="1:28" ht="15.75" thickTop="1" x14ac:dyDescent="0.25">
      <c r="A7" s="271"/>
      <c r="B7" s="272"/>
      <c r="C7" s="272" t="s">
        <v>259</v>
      </c>
      <c r="D7" s="273"/>
      <c r="E7" s="257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60"/>
      <c r="S7" s="260"/>
      <c r="T7" s="260"/>
      <c r="U7" s="260"/>
      <c r="V7" s="260"/>
      <c r="W7" s="260"/>
      <c r="X7" s="258"/>
      <c r="Y7" s="258"/>
      <c r="Z7" s="258"/>
      <c r="AA7" s="258"/>
      <c r="AB7" s="261"/>
    </row>
    <row r="8" spans="1:28" x14ac:dyDescent="0.25">
      <c r="A8" s="254">
        <v>44587</v>
      </c>
      <c r="B8" s="255" t="s">
        <v>110</v>
      </c>
      <c r="C8" s="255" t="s">
        <v>278</v>
      </c>
      <c r="D8" s="256"/>
      <c r="E8" s="257">
        <v>5</v>
      </c>
      <c r="F8" s="258">
        <v>90</v>
      </c>
      <c r="G8" s="258"/>
      <c r="H8" s="258"/>
      <c r="I8" s="258">
        <v>7.2</v>
      </c>
      <c r="J8" s="258">
        <v>19.899999999999999</v>
      </c>
      <c r="K8" s="274">
        <v>0.02</v>
      </c>
      <c r="L8" s="258">
        <v>1.82</v>
      </c>
      <c r="M8" s="258">
        <v>1.8</v>
      </c>
      <c r="N8" s="258">
        <v>0.1</v>
      </c>
      <c r="O8" s="258">
        <v>1.8</v>
      </c>
      <c r="P8" s="258">
        <v>0.2</v>
      </c>
      <c r="Q8" s="258">
        <v>5.0000000000000001E-4</v>
      </c>
      <c r="R8" s="275">
        <v>2.1000000000000001E-2</v>
      </c>
      <c r="S8" s="275"/>
      <c r="T8" s="275"/>
      <c r="U8" s="275"/>
      <c r="V8" s="275"/>
      <c r="W8" s="275"/>
      <c r="X8" s="274">
        <v>5.0000000000000001E-4</v>
      </c>
      <c r="Y8" s="258">
        <v>4.0000000000000001E-3</v>
      </c>
      <c r="Z8" s="258">
        <v>2E-3</v>
      </c>
      <c r="AA8" s="258">
        <v>6.0000000000000001E-3</v>
      </c>
      <c r="AB8" s="261">
        <v>0.43099999999999999</v>
      </c>
    </row>
    <row r="9" spans="1:28" x14ac:dyDescent="0.25">
      <c r="A9" s="254">
        <v>44615</v>
      </c>
      <c r="B9" s="255" t="s">
        <v>110</v>
      </c>
      <c r="C9" s="255" t="s">
        <v>279</v>
      </c>
      <c r="D9" s="256"/>
      <c r="E9" s="257">
        <v>29</v>
      </c>
      <c r="F9" s="258">
        <v>85</v>
      </c>
      <c r="G9" s="258"/>
      <c r="H9" s="258"/>
      <c r="I9" s="258">
        <v>3</v>
      </c>
      <c r="J9" s="258">
        <v>20</v>
      </c>
      <c r="K9" s="274">
        <v>0.02</v>
      </c>
      <c r="L9" s="258">
        <v>1.96</v>
      </c>
      <c r="M9" s="258">
        <v>1.4</v>
      </c>
      <c r="N9" s="258">
        <v>0.1</v>
      </c>
      <c r="O9" s="258">
        <v>1.3</v>
      </c>
      <c r="P9" s="258">
        <v>0.2</v>
      </c>
      <c r="Q9" s="258"/>
      <c r="R9" s="275">
        <v>3.5000000000000003E-2</v>
      </c>
      <c r="S9" s="275"/>
      <c r="T9" s="275"/>
      <c r="U9" s="275"/>
      <c r="V9" s="275"/>
      <c r="W9" s="275"/>
      <c r="X9" s="274">
        <v>5.0000000000000001E-4</v>
      </c>
      <c r="Y9" s="274">
        <v>5.0000000000000001E-4</v>
      </c>
      <c r="Z9" s="274">
        <v>5.0000000000000001E-4</v>
      </c>
      <c r="AA9" s="258">
        <v>0.01</v>
      </c>
      <c r="AB9" s="261">
        <v>0.23400000000000001</v>
      </c>
    </row>
    <row r="10" spans="1:28" x14ac:dyDescent="0.25">
      <c r="A10" s="254">
        <v>44636</v>
      </c>
      <c r="B10" s="255" t="s">
        <v>110</v>
      </c>
      <c r="C10" s="255" t="s">
        <v>280</v>
      </c>
      <c r="D10" s="256"/>
      <c r="E10" s="257">
        <v>28</v>
      </c>
      <c r="F10" s="258">
        <v>58</v>
      </c>
      <c r="G10" s="258"/>
      <c r="H10" s="258"/>
      <c r="I10" s="258">
        <v>1.2</v>
      </c>
      <c r="J10" s="258">
        <v>19.5</v>
      </c>
      <c r="K10" s="274">
        <v>0.02</v>
      </c>
      <c r="L10" s="258">
        <v>1.1499999999999999</v>
      </c>
      <c r="M10" s="258">
        <v>1.5</v>
      </c>
      <c r="N10" s="258">
        <v>0.2</v>
      </c>
      <c r="O10" s="258">
        <v>1.3</v>
      </c>
      <c r="P10" s="258">
        <v>0.2</v>
      </c>
      <c r="Q10" s="258">
        <v>5.0000000000000001E-4</v>
      </c>
      <c r="R10" s="275">
        <v>0.188</v>
      </c>
      <c r="S10" s="275"/>
      <c r="T10" s="275"/>
      <c r="U10" s="275"/>
      <c r="V10" s="275"/>
      <c r="W10" s="275"/>
      <c r="X10" s="274">
        <v>5.0000000000000001E-4</v>
      </c>
      <c r="Y10" s="274">
        <v>5.0000000000000001E-4</v>
      </c>
      <c r="Z10" s="274">
        <v>4.0000000000000001E-3</v>
      </c>
      <c r="AA10" s="258">
        <v>2.3E-2</v>
      </c>
      <c r="AB10" s="261">
        <v>0.20100000000000001</v>
      </c>
    </row>
    <row r="11" spans="1:28" x14ac:dyDescent="0.25">
      <c r="A11" s="254">
        <v>44655</v>
      </c>
      <c r="B11" s="255" t="s">
        <v>110</v>
      </c>
      <c r="C11" s="255" t="s">
        <v>281</v>
      </c>
      <c r="D11" s="256"/>
      <c r="E11" s="257">
        <v>17</v>
      </c>
      <c r="F11" s="258">
        <v>60</v>
      </c>
      <c r="G11" s="258"/>
      <c r="H11" s="258"/>
      <c r="I11" s="258">
        <v>0.1</v>
      </c>
      <c r="J11" s="258">
        <v>14.6</v>
      </c>
      <c r="K11" s="274">
        <v>0.02</v>
      </c>
      <c r="L11" s="258">
        <v>1.05</v>
      </c>
      <c r="M11" s="258">
        <v>1.1000000000000001</v>
      </c>
      <c r="N11" s="258">
        <v>0.1</v>
      </c>
      <c r="O11" s="258">
        <v>1</v>
      </c>
      <c r="P11" s="258">
        <v>0.2</v>
      </c>
      <c r="Q11" s="258">
        <v>5.0000000000000001E-4</v>
      </c>
      <c r="R11" s="275">
        <v>0.03</v>
      </c>
      <c r="S11" s="275"/>
      <c r="T11" s="275"/>
      <c r="U11" s="275"/>
      <c r="V11" s="275"/>
      <c r="W11" s="275"/>
      <c r="X11" s="274">
        <v>5.0000000000000001E-4</v>
      </c>
      <c r="Y11" s="258">
        <v>2E-3</v>
      </c>
      <c r="Z11" s="274">
        <v>5.0000000000000001E-4</v>
      </c>
      <c r="AA11" s="258">
        <v>8.9999999999999993E-3</v>
      </c>
      <c r="AB11" s="261">
        <v>0.18</v>
      </c>
    </row>
    <row r="12" spans="1:28" x14ac:dyDescent="0.25">
      <c r="A12" s="254">
        <v>44692</v>
      </c>
      <c r="B12" s="255" t="s">
        <v>110</v>
      </c>
      <c r="C12" s="255" t="s">
        <v>282</v>
      </c>
      <c r="D12" s="256"/>
      <c r="E12" s="257">
        <v>14</v>
      </c>
      <c r="F12" s="258">
        <v>43</v>
      </c>
      <c r="G12" s="258"/>
      <c r="H12" s="258"/>
      <c r="I12" s="258">
        <v>0.1</v>
      </c>
      <c r="J12" s="258">
        <v>13.8</v>
      </c>
      <c r="K12" s="274">
        <v>0.02</v>
      </c>
      <c r="L12" s="258">
        <v>0.57999999999999996</v>
      </c>
      <c r="M12" s="258">
        <v>0.7</v>
      </c>
      <c r="N12" s="258">
        <v>0.1</v>
      </c>
      <c r="O12" s="258">
        <v>0.7</v>
      </c>
      <c r="P12" s="258">
        <v>0.2</v>
      </c>
      <c r="Q12" s="258">
        <v>5.0000000000000001E-4</v>
      </c>
      <c r="R12" s="275">
        <v>1.6E-2</v>
      </c>
      <c r="S12" s="275"/>
      <c r="T12" s="275"/>
      <c r="U12" s="275"/>
      <c r="V12" s="275"/>
      <c r="W12" s="275"/>
      <c r="X12" s="274">
        <v>5.0000000000000001E-4</v>
      </c>
      <c r="Y12" s="274">
        <v>5.0000000000000001E-4</v>
      </c>
      <c r="Z12" s="258">
        <v>8.0000000000000002E-3</v>
      </c>
      <c r="AA12" s="258">
        <v>1.0999999999999999E-2</v>
      </c>
      <c r="AB12" s="261">
        <v>0.125</v>
      </c>
    </row>
    <row r="13" spans="1:28" x14ac:dyDescent="0.25">
      <c r="A13" s="254">
        <v>44735</v>
      </c>
      <c r="B13" s="255" t="s">
        <v>110</v>
      </c>
      <c r="C13" s="255" t="s">
        <v>283</v>
      </c>
      <c r="D13" s="256"/>
      <c r="E13" s="257">
        <v>5</v>
      </c>
      <c r="F13" s="258">
        <v>50</v>
      </c>
      <c r="G13" s="258"/>
      <c r="H13" s="258"/>
      <c r="I13" s="258">
        <v>0.1</v>
      </c>
      <c r="J13" s="258">
        <v>15</v>
      </c>
      <c r="K13" s="258">
        <v>0.04</v>
      </c>
      <c r="L13" s="258">
        <v>2.2200000000000002</v>
      </c>
      <c r="M13" s="258">
        <v>1.4</v>
      </c>
      <c r="N13" s="258">
        <v>0.1</v>
      </c>
      <c r="O13" s="258">
        <v>1.3</v>
      </c>
      <c r="P13" s="258">
        <v>0.2</v>
      </c>
      <c r="Q13" s="258">
        <v>5.0000000000000001E-4</v>
      </c>
      <c r="R13" s="275">
        <v>1.0999999999999999E-2</v>
      </c>
      <c r="S13" s="275"/>
      <c r="T13" s="275"/>
      <c r="U13" s="275"/>
      <c r="V13" s="275"/>
      <c r="W13" s="275"/>
      <c r="X13" s="274">
        <v>5.0000000000000001E-4</v>
      </c>
      <c r="Y13" s="258">
        <v>2E-3</v>
      </c>
      <c r="Z13" s="258">
        <v>1E-3</v>
      </c>
      <c r="AA13" s="258">
        <v>5.0000000000000001E-3</v>
      </c>
      <c r="AB13" s="261">
        <v>0.16900000000000001</v>
      </c>
    </row>
    <row r="14" spans="1:28" x14ac:dyDescent="0.25">
      <c r="A14" s="254">
        <v>44754</v>
      </c>
      <c r="B14" s="255" t="s">
        <v>110</v>
      </c>
      <c r="C14" s="255" t="s">
        <v>284</v>
      </c>
      <c r="D14" s="256"/>
      <c r="E14" s="257">
        <v>16</v>
      </c>
      <c r="F14" s="258">
        <v>46</v>
      </c>
      <c r="G14" s="258"/>
      <c r="H14" s="258"/>
      <c r="I14" s="258">
        <v>5.7</v>
      </c>
      <c r="J14" s="258">
        <v>18.100000000000001</v>
      </c>
      <c r="K14" s="274">
        <v>0.02</v>
      </c>
      <c r="L14" s="258">
        <v>2.04</v>
      </c>
      <c r="M14" s="258">
        <v>1.2</v>
      </c>
      <c r="N14" s="258">
        <v>0.1</v>
      </c>
      <c r="O14" s="258">
        <v>1.1000000000000001</v>
      </c>
      <c r="P14" s="258">
        <v>0.2</v>
      </c>
      <c r="Q14" s="258"/>
      <c r="R14" s="275">
        <v>1.4E-2</v>
      </c>
      <c r="S14" s="275"/>
      <c r="T14" s="275"/>
      <c r="U14" s="275"/>
      <c r="V14" s="275"/>
      <c r="W14" s="275"/>
      <c r="X14" s="274">
        <v>5.0000000000000001E-4</v>
      </c>
      <c r="Y14" s="258">
        <v>4.0000000000000001E-3</v>
      </c>
      <c r="Z14" s="258">
        <v>3.1E-2</v>
      </c>
      <c r="AA14" s="258">
        <v>9.8000000000000004E-2</v>
      </c>
      <c r="AB14" s="261">
        <v>0.46800000000000003</v>
      </c>
    </row>
    <row r="15" spans="1:28" x14ac:dyDescent="0.25">
      <c r="A15" s="254">
        <v>44805</v>
      </c>
      <c r="B15" s="255" t="s">
        <v>110</v>
      </c>
      <c r="C15" s="255" t="s">
        <v>285</v>
      </c>
      <c r="D15" s="256"/>
      <c r="E15" s="257">
        <v>15</v>
      </c>
      <c r="F15" s="258">
        <v>90</v>
      </c>
      <c r="G15" s="258"/>
      <c r="H15" s="258"/>
      <c r="I15" s="258">
        <v>6.4</v>
      </c>
      <c r="J15" s="258">
        <v>14.7</v>
      </c>
      <c r="K15" s="274">
        <v>0.02</v>
      </c>
      <c r="L15" s="258">
        <v>2.87</v>
      </c>
      <c r="M15" s="258">
        <v>1.3</v>
      </c>
      <c r="N15" s="258">
        <v>0.2</v>
      </c>
      <c r="O15" s="258">
        <v>1.1000000000000001</v>
      </c>
      <c r="P15" s="258">
        <v>0.2</v>
      </c>
      <c r="Q15" s="258"/>
      <c r="R15" s="260">
        <v>2.3E-2</v>
      </c>
      <c r="S15" s="260"/>
      <c r="T15" s="260"/>
      <c r="U15" s="260"/>
      <c r="V15" s="260"/>
      <c r="W15" s="260"/>
      <c r="X15" s="274">
        <v>5.0000000000000001E-4</v>
      </c>
      <c r="Y15" s="274">
        <v>5.0000000000000001E-4</v>
      </c>
      <c r="Z15" s="258">
        <v>1.2999999999999999E-2</v>
      </c>
      <c r="AA15" s="258">
        <v>0.09</v>
      </c>
      <c r="AB15" s="261">
        <v>0.14599999999999999</v>
      </c>
    </row>
    <row r="16" spans="1:28" x14ac:dyDescent="0.25">
      <c r="A16" s="254">
        <v>44851</v>
      </c>
      <c r="B16" s="255" t="s">
        <v>110</v>
      </c>
      <c r="C16" s="255" t="s">
        <v>286</v>
      </c>
      <c r="D16" s="256"/>
      <c r="E16" s="257">
        <v>20</v>
      </c>
      <c r="F16" s="258">
        <v>50</v>
      </c>
      <c r="G16" s="258"/>
      <c r="H16" s="258"/>
      <c r="I16" s="258">
        <v>0.4</v>
      </c>
      <c r="J16" s="258">
        <v>14.1</v>
      </c>
      <c r="K16" s="274">
        <v>0.02</v>
      </c>
      <c r="L16" s="258">
        <v>0.65</v>
      </c>
      <c r="M16" s="258">
        <v>1.9</v>
      </c>
      <c r="N16" s="258">
        <v>0.1</v>
      </c>
      <c r="O16" s="258">
        <v>1.8</v>
      </c>
      <c r="P16" s="258">
        <v>0.2</v>
      </c>
      <c r="Q16" s="258"/>
      <c r="R16" s="260">
        <v>1.4999999999999999E-2</v>
      </c>
      <c r="S16" s="260"/>
      <c r="T16" s="260"/>
      <c r="U16" s="260"/>
      <c r="V16" s="260"/>
      <c r="W16" s="260"/>
      <c r="X16" s="274">
        <v>5.0000000000000001E-4</v>
      </c>
      <c r="Y16" s="258">
        <v>2E-3</v>
      </c>
      <c r="Z16" s="258">
        <v>5.0000000000000001E-3</v>
      </c>
      <c r="AA16" s="258">
        <v>1.7999999999999999E-2</v>
      </c>
      <c r="AB16" s="261">
        <v>0.41399999999999998</v>
      </c>
    </row>
    <row r="17" spans="1:28" x14ac:dyDescent="0.25">
      <c r="A17" s="254">
        <v>44874</v>
      </c>
      <c r="B17" s="255" t="s">
        <v>110</v>
      </c>
      <c r="C17" s="255" t="s">
        <v>287</v>
      </c>
      <c r="D17" s="256"/>
      <c r="E17" s="257">
        <v>18</v>
      </c>
      <c r="F17" s="258">
        <v>37</v>
      </c>
      <c r="G17" s="258"/>
      <c r="H17" s="258"/>
      <c r="I17" s="258">
        <v>3.7</v>
      </c>
      <c r="J17" s="258">
        <v>12.9</v>
      </c>
      <c r="K17" s="274">
        <v>0.02</v>
      </c>
      <c r="L17" s="258">
        <v>0.32</v>
      </c>
      <c r="M17" s="258">
        <v>1.2</v>
      </c>
      <c r="N17" s="258">
        <v>0.2</v>
      </c>
      <c r="O17" s="258">
        <v>1</v>
      </c>
      <c r="P17" s="258">
        <v>0.2</v>
      </c>
      <c r="Q17" s="258"/>
      <c r="R17" s="260">
        <v>7.0000000000000001E-3</v>
      </c>
      <c r="S17" s="260"/>
      <c r="T17" s="260"/>
      <c r="U17" s="260"/>
      <c r="V17" s="260"/>
      <c r="W17" s="260"/>
      <c r="X17" s="274">
        <v>5.0000000000000001E-4</v>
      </c>
      <c r="Y17" s="258">
        <v>2E-3</v>
      </c>
      <c r="Z17" s="258">
        <v>8.9999999999999993E-3</v>
      </c>
      <c r="AA17" s="258">
        <v>2.7E-2</v>
      </c>
      <c r="AB17" s="261">
        <v>0.16900000000000001</v>
      </c>
    </row>
    <row r="18" spans="1:28" x14ac:dyDescent="0.25">
      <c r="A18" s="254">
        <v>44916</v>
      </c>
      <c r="B18" s="255" t="s">
        <v>110</v>
      </c>
      <c r="C18" s="255" t="s">
        <v>288</v>
      </c>
      <c r="D18" s="256"/>
      <c r="E18" s="257">
        <v>7</v>
      </c>
      <c r="F18" s="258">
        <v>58</v>
      </c>
      <c r="G18" s="258"/>
      <c r="H18" s="258"/>
      <c r="I18" s="258">
        <v>0.5</v>
      </c>
      <c r="J18" s="258">
        <v>20.100000000000001</v>
      </c>
      <c r="K18" s="274">
        <v>0.02</v>
      </c>
      <c r="L18" s="258">
        <v>0.56999999999999995</v>
      </c>
      <c r="M18" s="258">
        <v>1</v>
      </c>
      <c r="N18" s="258">
        <v>0.1</v>
      </c>
      <c r="O18" s="258">
        <v>0.9</v>
      </c>
      <c r="P18" s="258">
        <v>0.2</v>
      </c>
      <c r="Q18" s="258"/>
      <c r="R18" s="260">
        <v>1.7999999999999999E-2</v>
      </c>
      <c r="S18" s="260"/>
      <c r="T18" s="260"/>
      <c r="U18" s="260"/>
      <c r="V18" s="260"/>
      <c r="W18" s="260"/>
      <c r="X18" s="274">
        <v>5.0000000000000001E-4</v>
      </c>
      <c r="Y18" s="258">
        <v>1E-3</v>
      </c>
      <c r="Z18" s="258">
        <v>1E-3</v>
      </c>
      <c r="AA18" s="258">
        <v>8.9999999999999993E-3</v>
      </c>
      <c r="AB18" s="261">
        <v>0.219</v>
      </c>
    </row>
    <row r="19" spans="1:28" ht="15.75" thickBot="1" x14ac:dyDescent="0.3">
      <c r="D19" s="256"/>
      <c r="E19" s="257"/>
      <c r="F19" s="258"/>
      <c r="G19" s="258"/>
      <c r="H19" s="258"/>
      <c r="I19" s="258"/>
      <c r="J19" s="258"/>
      <c r="K19" s="259"/>
      <c r="L19" s="258"/>
      <c r="M19" s="258"/>
      <c r="N19" s="258"/>
      <c r="O19" s="258"/>
      <c r="P19" s="258"/>
      <c r="Q19" s="258"/>
      <c r="R19" s="260"/>
      <c r="S19" s="260"/>
      <c r="T19" s="260"/>
      <c r="U19" s="260"/>
      <c r="V19" s="260"/>
      <c r="W19" s="260"/>
      <c r="X19" s="258"/>
      <c r="Y19" s="258"/>
      <c r="Z19" s="258"/>
      <c r="AA19" s="258"/>
      <c r="AB19" s="261"/>
    </row>
    <row r="20" spans="1:28" ht="16.5" thickTop="1" thickBot="1" x14ac:dyDescent="0.3">
      <c r="A20" s="263" t="s">
        <v>289</v>
      </c>
      <c r="B20" s="264"/>
      <c r="C20" s="264"/>
      <c r="D20" s="265"/>
      <c r="E20" s="269">
        <f t="shared" ref="E20:AB20" si="0">AVERAGE(E8:E19)</f>
        <v>15.818181818181818</v>
      </c>
      <c r="F20" s="269">
        <f t="shared" si="0"/>
        <v>60.636363636363633</v>
      </c>
      <c r="G20" s="269"/>
      <c r="H20" s="269"/>
      <c r="I20" s="269">
        <f t="shared" si="0"/>
        <v>2.5818181818181816</v>
      </c>
      <c r="J20" s="269">
        <f t="shared" si="0"/>
        <v>16.609090909090909</v>
      </c>
      <c r="K20" s="276">
        <f t="shared" si="0"/>
        <v>2.1818181818181816E-2</v>
      </c>
      <c r="L20" s="276">
        <f t="shared" si="0"/>
        <v>1.3845454545454547</v>
      </c>
      <c r="M20" s="269">
        <f t="shared" si="0"/>
        <v>1.3181818181818181</v>
      </c>
      <c r="N20" s="269">
        <f t="shared" si="0"/>
        <v>0.12727272727272729</v>
      </c>
      <c r="O20" s="269">
        <f t="shared" si="0"/>
        <v>1.2090909090909092</v>
      </c>
      <c r="P20" s="266">
        <f t="shared" si="0"/>
        <v>0.19999999999999998</v>
      </c>
      <c r="Q20" s="277">
        <f t="shared" si="0"/>
        <v>5.0000000000000001E-4</v>
      </c>
      <c r="R20" s="267">
        <f t="shared" si="0"/>
        <v>3.4363636363636374E-2</v>
      </c>
      <c r="S20" s="267"/>
      <c r="T20" s="267"/>
      <c r="U20" s="267"/>
      <c r="V20" s="268"/>
      <c r="W20" s="267"/>
      <c r="X20" s="267">
        <f t="shared" si="0"/>
        <v>5.0000000000000012E-4</v>
      </c>
      <c r="Y20" s="267">
        <f t="shared" si="0"/>
        <v>1.7272727272727275E-3</v>
      </c>
      <c r="Z20" s="267">
        <f t="shared" si="0"/>
        <v>6.8181818181818179E-3</v>
      </c>
      <c r="AA20" s="267">
        <f t="shared" si="0"/>
        <v>2.7818181818181822E-2</v>
      </c>
      <c r="AB20" s="270">
        <f t="shared" si="0"/>
        <v>0.25054545454545452</v>
      </c>
    </row>
    <row r="21" spans="1:28" ht="15.75" thickTop="1" x14ac:dyDescent="0.25">
      <c r="A21" s="271"/>
      <c r="B21" s="272"/>
      <c r="C21" s="272"/>
      <c r="D21" s="273"/>
      <c r="E21" s="257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60"/>
      <c r="S21" s="260"/>
      <c r="T21" s="260"/>
      <c r="U21" s="260"/>
      <c r="V21" s="260"/>
      <c r="W21" s="260"/>
      <c r="X21" s="258"/>
      <c r="Y21" s="258"/>
      <c r="Z21" s="258"/>
      <c r="AA21" s="258"/>
      <c r="AB21" s="261"/>
    </row>
    <row r="22" spans="1:28" x14ac:dyDescent="0.25">
      <c r="A22" s="254">
        <v>44942</v>
      </c>
      <c r="B22" s="255" t="s">
        <v>110</v>
      </c>
      <c r="C22" s="255" t="s">
        <v>290</v>
      </c>
      <c r="D22" s="256"/>
      <c r="E22" s="257">
        <v>10</v>
      </c>
      <c r="F22" s="258">
        <v>46</v>
      </c>
      <c r="G22" s="258"/>
      <c r="H22" s="258"/>
      <c r="I22" s="258">
        <v>0.4</v>
      </c>
      <c r="J22" s="258">
        <v>18.3</v>
      </c>
      <c r="K22" s="274">
        <v>0.02</v>
      </c>
      <c r="L22" s="258">
        <v>0.69</v>
      </c>
      <c r="M22" s="258">
        <v>1.4</v>
      </c>
      <c r="N22" s="258">
        <v>0.1</v>
      </c>
      <c r="O22" s="258">
        <v>1.3</v>
      </c>
      <c r="P22" s="258">
        <v>0.2</v>
      </c>
      <c r="Q22" s="258">
        <v>5.0000000000000001E-4</v>
      </c>
      <c r="R22" s="275">
        <v>0.02</v>
      </c>
      <c r="S22" s="275"/>
      <c r="T22" s="275"/>
      <c r="U22" s="275"/>
      <c r="V22" s="275"/>
      <c r="W22" s="275"/>
      <c r="X22" s="274">
        <v>5.0000000000000001E-4</v>
      </c>
      <c r="Y22" s="258">
        <v>2E-3</v>
      </c>
      <c r="Z22" s="258">
        <v>2E-3</v>
      </c>
      <c r="AA22" s="258">
        <v>1.2E-2</v>
      </c>
      <c r="AB22" s="261">
        <v>0.128</v>
      </c>
    </row>
    <row r="23" spans="1:28" x14ac:dyDescent="0.25">
      <c r="A23" s="254">
        <v>44972</v>
      </c>
      <c r="B23" s="255" t="s">
        <v>110</v>
      </c>
      <c r="C23" s="255" t="s">
        <v>291</v>
      </c>
      <c r="D23" s="256"/>
      <c r="E23" s="257">
        <v>8</v>
      </c>
      <c r="F23" s="258">
        <v>40</v>
      </c>
      <c r="G23" s="258"/>
      <c r="H23" s="258"/>
      <c r="I23" s="258">
        <v>0.2</v>
      </c>
      <c r="J23" s="258">
        <v>11.1</v>
      </c>
      <c r="K23" s="259">
        <v>0.04</v>
      </c>
      <c r="L23" s="258">
        <v>0.67</v>
      </c>
      <c r="M23" s="258">
        <v>1.21</v>
      </c>
      <c r="N23" s="258">
        <v>0.11</v>
      </c>
      <c r="O23" s="258">
        <v>1.1000000000000001</v>
      </c>
      <c r="P23" s="258">
        <v>0.2</v>
      </c>
      <c r="Q23" s="258">
        <v>5.0000000000000001E-4</v>
      </c>
      <c r="R23" s="260">
        <v>1.2E-2</v>
      </c>
      <c r="S23" s="260"/>
      <c r="T23" s="260"/>
      <c r="U23" s="260"/>
      <c r="V23" s="260"/>
      <c r="W23" s="260"/>
      <c r="X23" s="274">
        <v>5.0000000000000001E-4</v>
      </c>
      <c r="Y23" s="258">
        <v>1E-3</v>
      </c>
      <c r="Z23" s="274">
        <v>5.0000000000000001E-4</v>
      </c>
      <c r="AA23" s="258">
        <v>3.5999999999999997E-2</v>
      </c>
      <c r="AB23" s="261">
        <v>0.13900000000000001</v>
      </c>
    </row>
    <row r="24" spans="1:28" x14ac:dyDescent="0.25">
      <c r="A24" s="254">
        <v>45015</v>
      </c>
      <c r="B24" s="255" t="s">
        <v>110</v>
      </c>
      <c r="C24" s="255" t="s">
        <v>292</v>
      </c>
      <c r="D24" s="256"/>
      <c r="E24" s="257">
        <v>28</v>
      </c>
      <c r="F24" s="258">
        <v>76</v>
      </c>
      <c r="G24" s="258"/>
      <c r="H24" s="258"/>
      <c r="I24" s="258">
        <v>0.1</v>
      </c>
      <c r="J24" s="258">
        <v>14.9</v>
      </c>
      <c r="K24" s="259">
        <v>0.06</v>
      </c>
      <c r="L24" s="258">
        <v>0.8</v>
      </c>
      <c r="M24" s="258">
        <v>1.61</v>
      </c>
      <c r="N24" s="258">
        <v>0.11</v>
      </c>
      <c r="O24" s="258">
        <v>1.5</v>
      </c>
      <c r="P24" s="258">
        <v>0.2</v>
      </c>
      <c r="Q24" s="258">
        <v>5.0000000000000001E-4</v>
      </c>
      <c r="R24" s="260">
        <v>1.6E-2</v>
      </c>
      <c r="S24" s="260"/>
      <c r="T24" s="260"/>
      <c r="U24" s="260"/>
      <c r="V24" s="260"/>
      <c r="W24" s="260"/>
      <c r="X24" s="274">
        <v>5.0000000000000001E-4</v>
      </c>
      <c r="Y24" s="258">
        <v>1E-3</v>
      </c>
      <c r="Z24" s="274">
        <v>5.0000000000000001E-4</v>
      </c>
      <c r="AA24" s="258">
        <v>1.4E-2</v>
      </c>
      <c r="AB24" s="261">
        <v>0.185</v>
      </c>
    </row>
    <row r="25" spans="1:28" x14ac:dyDescent="0.25">
      <c r="A25" s="254">
        <v>45050</v>
      </c>
      <c r="B25" s="255" t="s">
        <v>110</v>
      </c>
      <c r="C25" s="255" t="s">
        <v>293</v>
      </c>
      <c r="D25" s="256"/>
      <c r="E25" s="257">
        <v>46</v>
      </c>
      <c r="F25" s="258">
        <v>132</v>
      </c>
      <c r="G25" s="258"/>
      <c r="H25" s="258"/>
      <c r="I25" s="258">
        <v>6.2</v>
      </c>
      <c r="J25" s="258">
        <v>19.7</v>
      </c>
      <c r="K25" s="259">
        <v>0.02</v>
      </c>
      <c r="L25" s="258">
        <v>3.38</v>
      </c>
      <c r="M25" s="258">
        <v>1.27</v>
      </c>
      <c r="N25" s="258">
        <v>0.17</v>
      </c>
      <c r="O25" s="258">
        <v>1.1000000000000001</v>
      </c>
      <c r="P25" s="258">
        <v>0.2</v>
      </c>
      <c r="Q25" s="258">
        <v>5.0000000000000001E-4</v>
      </c>
      <c r="R25" s="260">
        <v>2.5000000000000001E-2</v>
      </c>
      <c r="S25" s="260"/>
      <c r="T25" s="260"/>
      <c r="U25" s="260"/>
      <c r="V25" s="260"/>
      <c r="W25" s="260"/>
      <c r="X25" s="274">
        <v>5.0000000000000001E-4</v>
      </c>
      <c r="Y25" s="258">
        <v>4.0000000000000001E-3</v>
      </c>
      <c r="Z25" s="258">
        <v>2E-3</v>
      </c>
      <c r="AA25" s="258">
        <v>8.5999999999999993E-2</v>
      </c>
      <c r="AB25" s="261">
        <v>0.17</v>
      </c>
    </row>
    <row r="26" spans="1:28" x14ac:dyDescent="0.25">
      <c r="A26" s="254">
        <v>45062</v>
      </c>
      <c r="B26" s="255" t="s">
        <v>110</v>
      </c>
      <c r="C26" s="255" t="s">
        <v>294</v>
      </c>
      <c r="D26" s="256"/>
      <c r="E26" s="257">
        <v>17</v>
      </c>
      <c r="F26" s="258">
        <v>80</v>
      </c>
      <c r="G26" s="258"/>
      <c r="H26" s="258"/>
      <c r="I26" s="258">
        <v>0.1</v>
      </c>
      <c r="J26" s="258">
        <v>14.4</v>
      </c>
      <c r="K26" s="278">
        <v>0.02</v>
      </c>
      <c r="L26" s="258">
        <v>1.39</v>
      </c>
      <c r="M26" s="258">
        <v>0.9</v>
      </c>
      <c r="N26" s="258">
        <v>0.1</v>
      </c>
      <c r="O26" s="258">
        <v>0.8</v>
      </c>
      <c r="P26" s="258">
        <v>0.2</v>
      </c>
      <c r="Q26" s="258">
        <v>5.0000000000000001E-4</v>
      </c>
      <c r="R26" s="260">
        <v>1.2E-2</v>
      </c>
      <c r="S26" s="260"/>
      <c r="T26" s="260"/>
      <c r="U26" s="260"/>
      <c r="V26" s="260"/>
      <c r="W26" s="260"/>
      <c r="X26" s="274">
        <v>5.0000000000000001E-4</v>
      </c>
      <c r="Y26" s="258">
        <v>2E-3</v>
      </c>
      <c r="Z26" s="258">
        <v>5.0000000000000001E-3</v>
      </c>
      <c r="AA26" s="258">
        <v>1.6E-2</v>
      </c>
      <c r="AB26" s="261">
        <v>9.7000000000000003E-2</v>
      </c>
    </row>
    <row r="27" spans="1:28" x14ac:dyDescent="0.25">
      <c r="A27" s="254">
        <v>45083</v>
      </c>
      <c r="B27" s="255" t="s">
        <v>110</v>
      </c>
      <c r="C27" s="255" t="s">
        <v>295</v>
      </c>
      <c r="D27" s="256"/>
      <c r="E27" s="257">
        <v>19</v>
      </c>
      <c r="F27" s="258">
        <v>61</v>
      </c>
      <c r="G27" s="258"/>
      <c r="H27" s="258"/>
      <c r="I27" s="258">
        <v>0.1</v>
      </c>
      <c r="J27" s="258">
        <v>15.6</v>
      </c>
      <c r="K27" s="278">
        <v>0.02</v>
      </c>
      <c r="L27" s="258">
        <v>2.23</v>
      </c>
      <c r="M27" s="258">
        <v>1.07</v>
      </c>
      <c r="N27" s="258">
        <v>0.17</v>
      </c>
      <c r="O27" s="258">
        <v>0.9</v>
      </c>
      <c r="P27" s="258">
        <v>0.2</v>
      </c>
      <c r="Q27" s="258">
        <v>5.0000000000000001E-4</v>
      </c>
      <c r="R27" s="260">
        <v>1.4999999999999999E-2</v>
      </c>
      <c r="S27" s="260"/>
      <c r="T27" s="260"/>
      <c r="U27" s="260"/>
      <c r="V27" s="260"/>
      <c r="W27" s="260"/>
      <c r="X27" s="274">
        <v>5.0000000000000001E-4</v>
      </c>
      <c r="Y27" s="258">
        <v>4.0000000000000001E-3</v>
      </c>
      <c r="Z27" s="258">
        <v>1E-3</v>
      </c>
      <c r="AA27" s="258">
        <v>8.9999999999999993E-3</v>
      </c>
      <c r="AB27" s="261">
        <v>0.115</v>
      </c>
    </row>
    <row r="28" spans="1:28" x14ac:dyDescent="0.25">
      <c r="A28" s="254">
        <v>45112</v>
      </c>
      <c r="B28" s="255" t="s">
        <v>110</v>
      </c>
      <c r="C28" s="255" t="s">
        <v>296</v>
      </c>
      <c r="D28" s="256"/>
      <c r="E28" s="257">
        <v>6</v>
      </c>
      <c r="F28" s="258">
        <v>39</v>
      </c>
      <c r="G28" s="258"/>
      <c r="H28" s="258"/>
      <c r="I28" s="258">
        <v>0.1</v>
      </c>
      <c r="J28" s="258">
        <v>18</v>
      </c>
      <c r="K28" s="259">
        <v>0.02</v>
      </c>
      <c r="L28" s="258">
        <v>1.21</v>
      </c>
      <c r="M28" s="258">
        <v>0.79</v>
      </c>
      <c r="N28" s="258">
        <v>0.09</v>
      </c>
      <c r="O28" s="258">
        <v>0.7</v>
      </c>
      <c r="P28" s="258">
        <v>0.2</v>
      </c>
      <c r="Q28" s="258">
        <v>5.0000000000000001E-4</v>
      </c>
      <c r="R28" s="260">
        <v>1.2E-2</v>
      </c>
      <c r="S28" s="260"/>
      <c r="T28" s="260"/>
      <c r="U28" s="260"/>
      <c r="V28" s="260"/>
      <c r="W28" s="260"/>
      <c r="X28" s="274">
        <v>5.0000000000000001E-4</v>
      </c>
      <c r="Y28" s="258">
        <v>1E-3</v>
      </c>
      <c r="Z28" s="258">
        <v>6.0000000000000001E-3</v>
      </c>
      <c r="AA28" s="258">
        <v>0.01</v>
      </c>
      <c r="AB28" s="261">
        <v>0.13200000000000001</v>
      </c>
    </row>
    <row r="29" spans="1:28" x14ac:dyDescent="0.25">
      <c r="A29" s="254">
        <v>45176</v>
      </c>
      <c r="B29" s="255" t="s">
        <v>110</v>
      </c>
      <c r="C29" s="255" t="s">
        <v>297</v>
      </c>
      <c r="D29" s="256"/>
      <c r="E29" s="257">
        <v>5</v>
      </c>
      <c r="F29" s="258">
        <v>46</v>
      </c>
      <c r="G29" s="258"/>
      <c r="H29" s="258"/>
      <c r="I29" s="258">
        <v>0.1</v>
      </c>
      <c r="J29" s="258">
        <v>13.2</v>
      </c>
      <c r="K29" s="259">
        <v>0.02</v>
      </c>
      <c r="L29" s="258">
        <v>0.83</v>
      </c>
      <c r="M29" s="258">
        <v>0.72</v>
      </c>
      <c r="N29" s="258">
        <v>0.12</v>
      </c>
      <c r="O29" s="258">
        <v>0.6</v>
      </c>
      <c r="P29" s="258">
        <v>0.2</v>
      </c>
      <c r="Q29" s="258">
        <v>5.0000000000000001E-4</v>
      </c>
      <c r="R29" s="260">
        <v>1.6E-2</v>
      </c>
      <c r="S29" s="260"/>
      <c r="T29" s="260"/>
      <c r="U29" s="260"/>
      <c r="V29" s="260"/>
      <c r="W29" s="260"/>
      <c r="X29" s="258">
        <v>5.0000000000000001E-4</v>
      </c>
      <c r="Y29" s="258">
        <v>4.0000000000000001E-3</v>
      </c>
      <c r="Z29" s="258">
        <v>1.4E-2</v>
      </c>
      <c r="AA29" s="258">
        <v>8.1000000000000003E-2</v>
      </c>
      <c r="AB29" s="261">
        <v>0.159</v>
      </c>
    </row>
    <row r="30" spans="1:28" x14ac:dyDescent="0.25">
      <c r="A30" s="254">
        <v>45203</v>
      </c>
      <c r="B30" s="255" t="s">
        <v>110</v>
      </c>
      <c r="C30" s="255" t="s">
        <v>298</v>
      </c>
      <c r="D30" s="256"/>
      <c r="E30" s="257">
        <v>14</v>
      </c>
      <c r="F30" s="258">
        <v>57</v>
      </c>
      <c r="G30" s="258"/>
      <c r="H30" s="258"/>
      <c r="I30" s="258">
        <v>0.1</v>
      </c>
      <c r="J30" s="258">
        <v>13.8</v>
      </c>
      <c r="K30" s="259">
        <v>0.02</v>
      </c>
      <c r="L30" s="258">
        <v>1.46</v>
      </c>
      <c r="M30" s="258">
        <v>0.81</v>
      </c>
      <c r="N30" s="258">
        <v>0.11</v>
      </c>
      <c r="O30" s="258">
        <v>0.7</v>
      </c>
      <c r="P30" s="258">
        <v>0.2</v>
      </c>
      <c r="Q30" s="258">
        <v>5.0000000000000001E-4</v>
      </c>
      <c r="R30" s="260">
        <v>1.2E-2</v>
      </c>
      <c r="S30" s="260"/>
      <c r="T30" s="260"/>
      <c r="U30" s="260"/>
      <c r="V30" s="260"/>
      <c r="W30" s="260"/>
      <c r="X30" s="258">
        <v>5.0000000000000001E-4</v>
      </c>
      <c r="Y30" s="258">
        <v>5.0000000000000001E-4</v>
      </c>
      <c r="Z30" s="258">
        <v>1.0999999999999999E-2</v>
      </c>
      <c r="AA30" s="258">
        <v>1.9E-2</v>
      </c>
      <c r="AB30" s="261">
        <v>0.13800000000000001</v>
      </c>
    </row>
    <row r="31" spans="1:28" x14ac:dyDescent="0.25">
      <c r="A31" s="254">
        <v>45237</v>
      </c>
      <c r="B31" s="255" t="s">
        <v>110</v>
      </c>
      <c r="C31" s="255" t="s">
        <v>299</v>
      </c>
      <c r="D31" s="256"/>
      <c r="E31" s="257">
        <v>5</v>
      </c>
      <c r="F31" s="258">
        <v>38</v>
      </c>
      <c r="G31" s="258"/>
      <c r="H31" s="258"/>
      <c r="I31" s="258">
        <v>0.1</v>
      </c>
      <c r="J31" s="258">
        <v>19</v>
      </c>
      <c r="K31" s="259">
        <v>0.02</v>
      </c>
      <c r="L31" s="258">
        <v>1.65</v>
      </c>
      <c r="M31" s="258">
        <v>0.86</v>
      </c>
      <c r="N31" s="258">
        <v>0.16</v>
      </c>
      <c r="O31" s="258">
        <v>0.7</v>
      </c>
      <c r="P31" s="258">
        <v>0.2</v>
      </c>
      <c r="Q31" s="258">
        <v>5.0000000000000001E-4</v>
      </c>
      <c r="R31" s="260">
        <v>1.6E-2</v>
      </c>
      <c r="S31" s="260"/>
      <c r="T31" s="260"/>
      <c r="U31" s="260"/>
      <c r="V31" s="260"/>
      <c r="W31" s="260"/>
      <c r="X31" s="258">
        <v>5.0000000000000001E-4</v>
      </c>
      <c r="Y31" s="258">
        <v>3.0000000000000001E-3</v>
      </c>
      <c r="Z31" s="258">
        <v>7.0000000000000001E-3</v>
      </c>
      <c r="AA31" s="258">
        <v>1.4999999999999999E-2</v>
      </c>
      <c r="AB31" s="261">
        <v>0.18</v>
      </c>
    </row>
    <row r="32" spans="1:28" x14ac:dyDescent="0.25">
      <c r="A32" s="254">
        <v>45272</v>
      </c>
      <c r="B32" s="255" t="s">
        <v>110</v>
      </c>
      <c r="C32" s="255" t="s">
        <v>300</v>
      </c>
      <c r="D32" s="256"/>
      <c r="E32" s="257">
        <v>5</v>
      </c>
      <c r="F32" s="258">
        <v>13</v>
      </c>
      <c r="G32" s="258"/>
      <c r="H32" s="258"/>
      <c r="I32" s="258">
        <v>0.2</v>
      </c>
      <c r="J32" s="258">
        <v>18.3</v>
      </c>
      <c r="K32" s="259">
        <v>0.02</v>
      </c>
      <c r="L32" s="258">
        <v>1.1499999999999999</v>
      </c>
      <c r="M32" s="258">
        <v>0.52</v>
      </c>
      <c r="N32" s="258">
        <v>0.12</v>
      </c>
      <c r="O32" s="258">
        <v>0.4</v>
      </c>
      <c r="P32" s="258">
        <v>0.2</v>
      </c>
      <c r="Q32" s="258">
        <v>5.0000000000000001E-4</v>
      </c>
      <c r="R32" s="260">
        <v>1.2E-2</v>
      </c>
      <c r="S32" s="260"/>
      <c r="T32" s="260"/>
      <c r="U32" s="260"/>
      <c r="V32" s="260"/>
      <c r="W32" s="260"/>
      <c r="X32" s="258">
        <v>5.0000000000000001E-4</v>
      </c>
      <c r="Y32" s="258">
        <v>3.0000000000000001E-3</v>
      </c>
      <c r="Z32" s="258">
        <v>2E-3</v>
      </c>
      <c r="AA32" s="258">
        <v>1.4999999999999999E-2</v>
      </c>
      <c r="AB32" s="261">
        <v>0.14599999999999999</v>
      </c>
    </row>
    <row r="33" spans="1:28" ht="15.75" thickBot="1" x14ac:dyDescent="0.3">
      <c r="A33" s="254"/>
      <c r="B33" s="255"/>
      <c r="C33" s="255"/>
      <c r="D33" s="262"/>
      <c r="E33" s="257"/>
      <c r="F33" s="258"/>
      <c r="G33" s="258"/>
      <c r="H33" s="258"/>
      <c r="I33" s="258"/>
      <c r="J33" s="258"/>
      <c r="K33" s="259"/>
      <c r="L33" s="258"/>
      <c r="M33" s="258"/>
      <c r="N33" s="258"/>
      <c r="O33" s="258"/>
      <c r="P33" s="258"/>
      <c r="Q33" s="258"/>
      <c r="R33" s="260"/>
      <c r="S33" s="260"/>
      <c r="T33" s="260"/>
      <c r="U33" s="260"/>
      <c r="V33" s="260"/>
      <c r="W33" s="260"/>
      <c r="X33" s="258"/>
      <c r="Y33" s="258"/>
      <c r="Z33" s="258"/>
      <c r="AA33" s="258"/>
      <c r="AB33" s="261"/>
    </row>
    <row r="34" spans="1:28" ht="16.5" thickTop="1" thickBot="1" x14ac:dyDescent="0.3">
      <c r="A34" s="263" t="s">
        <v>301</v>
      </c>
      <c r="B34" s="264"/>
      <c r="C34" s="264"/>
      <c r="D34" s="265"/>
      <c r="E34" s="267">
        <f t="shared" ref="E34:Q34" si="1">AVERAGE(E22:E33)</f>
        <v>14.818181818181818</v>
      </c>
      <c r="F34" s="267">
        <f t="shared" si="1"/>
        <v>57.090909090909093</v>
      </c>
      <c r="G34" s="267"/>
      <c r="H34" s="267"/>
      <c r="I34" s="267">
        <f t="shared" si="1"/>
        <v>0.69999999999999984</v>
      </c>
      <c r="J34" s="267">
        <f t="shared" si="1"/>
        <v>16.027272727272727</v>
      </c>
      <c r="K34" s="267">
        <f t="shared" si="1"/>
        <v>2.5454545454545452E-2</v>
      </c>
      <c r="L34" s="267">
        <f t="shared" si="1"/>
        <v>1.4054545454545455</v>
      </c>
      <c r="M34" s="267">
        <f t="shared" si="1"/>
        <v>1.0145454545454546</v>
      </c>
      <c r="N34" s="267">
        <f t="shared" si="1"/>
        <v>0.12363636363636363</v>
      </c>
      <c r="O34" s="267">
        <f t="shared" si="1"/>
        <v>0.89090909090909076</v>
      </c>
      <c r="P34" s="267">
        <f t="shared" si="1"/>
        <v>0.19999999999999998</v>
      </c>
      <c r="Q34" s="267">
        <f t="shared" si="1"/>
        <v>5.0000000000000012E-4</v>
      </c>
      <c r="R34" s="267">
        <f t="shared" ref="R34:AB34" si="2">AVERAGE(R22:R33)</f>
        <v>1.5272727272727276E-2</v>
      </c>
      <c r="S34" s="267"/>
      <c r="T34" s="267"/>
      <c r="U34" s="267"/>
      <c r="V34" s="268"/>
      <c r="W34" s="267"/>
      <c r="X34" s="267">
        <f t="shared" si="2"/>
        <v>5.0000000000000012E-4</v>
      </c>
      <c r="Y34" s="267">
        <f t="shared" si="2"/>
        <v>2.3181818181818182E-3</v>
      </c>
      <c r="Z34" s="267">
        <f t="shared" si="2"/>
        <v>4.6363636363636364E-3</v>
      </c>
      <c r="AA34" s="267">
        <f t="shared" si="2"/>
        <v>2.8454545454545458E-2</v>
      </c>
      <c r="AB34" s="270">
        <f t="shared" si="2"/>
        <v>0.14445454545454542</v>
      </c>
    </row>
    <row r="35" spans="1:28" ht="15.75" thickTop="1" x14ac:dyDescent="0.25">
      <c r="A35" s="254">
        <v>45301</v>
      </c>
      <c r="B35" s="255" t="s">
        <v>110</v>
      </c>
      <c r="C35" s="255" t="s">
        <v>302</v>
      </c>
      <c r="D35" s="256"/>
      <c r="E35" s="257">
        <v>7</v>
      </c>
      <c r="F35" s="258">
        <v>46</v>
      </c>
      <c r="G35" s="258"/>
      <c r="H35" s="258"/>
      <c r="I35" s="258">
        <v>1.5</v>
      </c>
      <c r="J35" s="258">
        <v>15.1</v>
      </c>
      <c r="K35" s="259">
        <v>0.05</v>
      </c>
      <c r="L35" s="258">
        <v>1.61</v>
      </c>
      <c r="M35" s="258">
        <v>1.06</v>
      </c>
      <c r="N35" s="258">
        <v>0.26</v>
      </c>
      <c r="O35" s="258">
        <v>0.8</v>
      </c>
      <c r="P35" s="258">
        <v>0.2</v>
      </c>
      <c r="Q35" s="258">
        <v>5.0000000000000001E-4</v>
      </c>
      <c r="R35" s="260">
        <v>1.6E-2</v>
      </c>
      <c r="S35" s="260"/>
      <c r="T35" s="260"/>
      <c r="U35" s="260"/>
      <c r="V35" s="260"/>
      <c r="W35" s="260"/>
      <c r="X35" s="258">
        <v>1E-3</v>
      </c>
      <c r="Y35" s="258">
        <v>2E-3</v>
      </c>
      <c r="Z35" s="258">
        <v>5.0000000000000001E-4</v>
      </c>
      <c r="AA35" s="258">
        <v>3.9E-2</v>
      </c>
      <c r="AB35" s="261">
        <v>0.222</v>
      </c>
    </row>
    <row r="36" spans="1:28" x14ac:dyDescent="0.25">
      <c r="A36" s="254">
        <v>45328</v>
      </c>
      <c r="B36" s="255" t="s">
        <v>110</v>
      </c>
      <c r="C36" s="255" t="s">
        <v>303</v>
      </c>
      <c r="D36" s="256"/>
      <c r="E36" s="257">
        <v>26</v>
      </c>
      <c r="F36" s="258">
        <v>67</v>
      </c>
      <c r="G36" s="258"/>
      <c r="H36" s="258"/>
      <c r="I36" s="258">
        <v>0.1</v>
      </c>
      <c r="J36" s="258">
        <v>12.1</v>
      </c>
      <c r="K36" s="259">
        <v>0.02</v>
      </c>
      <c r="L36" s="258">
        <v>0.59</v>
      </c>
      <c r="M36" s="258">
        <v>0.75</v>
      </c>
      <c r="N36" s="258">
        <v>0.05</v>
      </c>
      <c r="O36" s="258">
        <v>0.7</v>
      </c>
      <c r="P36" s="258">
        <v>0.2</v>
      </c>
      <c r="Q36" s="258">
        <v>5.0000000000000001E-4</v>
      </c>
      <c r="R36" s="260">
        <v>1.0999999999999999E-2</v>
      </c>
      <c r="S36" s="260"/>
      <c r="T36" s="260"/>
      <c r="U36" s="260"/>
      <c r="V36" s="260"/>
      <c r="W36" s="260"/>
      <c r="X36" s="258">
        <v>5.0000000000000001E-4</v>
      </c>
      <c r="Y36" s="258">
        <v>2E-3</v>
      </c>
      <c r="Z36" s="258">
        <v>4.0000000000000002E-4</v>
      </c>
      <c r="AA36" s="258">
        <v>1.6E-2</v>
      </c>
      <c r="AB36" s="261">
        <v>8.2000000000000003E-2</v>
      </c>
    </row>
    <row r="37" spans="1:28" x14ac:dyDescent="0.25">
      <c r="A37" s="254">
        <v>45364</v>
      </c>
      <c r="B37" s="255" t="s">
        <v>110</v>
      </c>
      <c r="C37" s="255" t="s">
        <v>304</v>
      </c>
      <c r="D37" s="256"/>
      <c r="E37" s="257">
        <v>5</v>
      </c>
      <c r="F37" s="258">
        <v>45</v>
      </c>
      <c r="G37" s="258"/>
      <c r="H37" s="258"/>
      <c r="I37" s="258">
        <v>0.1</v>
      </c>
      <c r="J37" s="258">
        <v>18.3</v>
      </c>
      <c r="K37" s="259">
        <v>0.02</v>
      </c>
      <c r="L37" s="258">
        <v>0.5</v>
      </c>
      <c r="M37" s="258">
        <v>0.8</v>
      </c>
      <c r="N37" s="258">
        <v>0.2</v>
      </c>
      <c r="O37" s="258">
        <v>0.6</v>
      </c>
      <c r="P37" s="258">
        <v>0.2</v>
      </c>
      <c r="Q37" s="258">
        <v>5.0000000000000001E-4</v>
      </c>
      <c r="R37" s="260">
        <v>1.0999999999999999E-2</v>
      </c>
      <c r="S37" s="260"/>
      <c r="T37" s="260"/>
      <c r="U37" s="260"/>
      <c r="V37" s="260"/>
      <c r="W37" s="260"/>
      <c r="X37" s="258">
        <v>5.0000000000000001E-4</v>
      </c>
      <c r="Y37" s="258">
        <v>1E-3</v>
      </c>
      <c r="Z37" s="258">
        <v>2E-3</v>
      </c>
      <c r="AA37" s="258">
        <v>3.1E-2</v>
      </c>
      <c r="AB37" s="261">
        <v>9.5000000000000001E-2</v>
      </c>
    </row>
    <row r="38" spans="1:28" x14ac:dyDescent="0.25">
      <c r="A38" s="254">
        <v>45386</v>
      </c>
      <c r="B38" s="255" t="s">
        <v>110</v>
      </c>
      <c r="C38" s="255" t="s">
        <v>305</v>
      </c>
      <c r="D38" s="256"/>
      <c r="E38" s="257">
        <v>5</v>
      </c>
      <c r="F38" s="258">
        <v>57</v>
      </c>
      <c r="G38" s="258"/>
      <c r="H38" s="258"/>
      <c r="I38" s="258">
        <v>0.1</v>
      </c>
      <c r="J38" s="258">
        <v>16.8</v>
      </c>
      <c r="K38" s="259">
        <v>0.02</v>
      </c>
      <c r="L38" s="258">
        <v>0.45</v>
      </c>
      <c r="M38" s="258">
        <v>1.2</v>
      </c>
      <c r="N38" s="258">
        <v>0.18</v>
      </c>
      <c r="O38" s="258">
        <v>1</v>
      </c>
      <c r="P38" s="258">
        <v>0.2</v>
      </c>
      <c r="Q38" s="258">
        <v>5.0000000000000001E-4</v>
      </c>
      <c r="R38" s="260">
        <v>1.4E-2</v>
      </c>
      <c r="S38" s="260"/>
      <c r="T38" s="260"/>
      <c r="U38" s="260"/>
      <c r="V38" s="260"/>
      <c r="W38" s="260"/>
      <c r="X38" s="258">
        <v>5.0000000000000001E-4</v>
      </c>
      <c r="Y38" s="258">
        <v>4.0000000000000001E-3</v>
      </c>
      <c r="Z38" s="258">
        <v>0.12</v>
      </c>
      <c r="AA38" s="258">
        <v>1.4999999999999999E-2</v>
      </c>
      <c r="AB38" s="261">
        <v>0.125</v>
      </c>
    </row>
    <row r="39" spans="1:28" x14ac:dyDescent="0.25">
      <c r="A39" s="254">
        <v>45427</v>
      </c>
      <c r="B39" s="255" t="s">
        <v>110</v>
      </c>
      <c r="C39" s="255" t="s">
        <v>306</v>
      </c>
      <c r="D39" s="256"/>
      <c r="E39" s="257">
        <v>5</v>
      </c>
      <c r="F39" s="258">
        <v>23</v>
      </c>
      <c r="G39" s="258"/>
      <c r="H39" s="258"/>
      <c r="I39" s="258">
        <v>0.1</v>
      </c>
      <c r="J39" s="258">
        <v>12</v>
      </c>
      <c r="K39" s="259">
        <v>0.02</v>
      </c>
      <c r="L39" s="258">
        <v>0.48</v>
      </c>
      <c r="M39" s="258">
        <v>0.74</v>
      </c>
      <c r="N39" s="258">
        <v>0.14000000000000001</v>
      </c>
      <c r="O39" s="258">
        <v>0.6</v>
      </c>
      <c r="P39" s="258">
        <v>0.2</v>
      </c>
      <c r="Q39" s="258">
        <v>5.0000000000000001E-4</v>
      </c>
      <c r="R39" s="260">
        <v>0.01</v>
      </c>
      <c r="S39" s="260"/>
      <c r="T39" s="260"/>
      <c r="U39" s="260"/>
      <c r="V39" s="260"/>
      <c r="W39" s="260"/>
      <c r="X39" s="258">
        <v>5.0000000000000001E-4</v>
      </c>
      <c r="Y39" s="258">
        <v>2E-3</v>
      </c>
      <c r="Z39" s="258">
        <v>4.0000000000000001E-3</v>
      </c>
      <c r="AA39" s="258">
        <v>1.4E-2</v>
      </c>
      <c r="AB39" s="261">
        <v>8.1000000000000003E-2</v>
      </c>
    </row>
    <row r="40" spans="1:28" x14ac:dyDescent="0.25">
      <c r="A40" s="254">
        <v>45454</v>
      </c>
      <c r="B40" s="255" t="s">
        <v>110</v>
      </c>
      <c r="C40" s="255" t="s">
        <v>307</v>
      </c>
      <c r="D40" s="256"/>
      <c r="E40" s="257">
        <v>5</v>
      </c>
      <c r="F40" s="258">
        <v>40</v>
      </c>
      <c r="G40" s="258"/>
      <c r="H40" s="258"/>
      <c r="I40" s="258">
        <v>0.1</v>
      </c>
      <c r="J40" s="258">
        <v>16.5</v>
      </c>
      <c r="K40" s="259">
        <v>0.02</v>
      </c>
      <c r="L40" s="258">
        <v>2.2999999999999998</v>
      </c>
      <c r="M40" s="258">
        <v>0.76</v>
      </c>
      <c r="N40" s="258">
        <v>0.06</v>
      </c>
      <c r="O40" s="258">
        <v>0.7</v>
      </c>
      <c r="P40" s="258">
        <v>0.2</v>
      </c>
      <c r="Q40" s="258">
        <v>5.0000000000000001E-4</v>
      </c>
      <c r="R40" s="260">
        <v>1.7000000000000001E-2</v>
      </c>
      <c r="S40" s="260"/>
      <c r="T40" s="260"/>
      <c r="U40" s="260"/>
      <c r="V40" s="260"/>
      <c r="W40" s="260"/>
      <c r="X40" s="258">
        <v>5.0000000000000001E-4</v>
      </c>
      <c r="Y40" s="258">
        <v>5.0000000000000001E-4</v>
      </c>
      <c r="Z40" s="258">
        <v>4.0000000000000001E-3</v>
      </c>
      <c r="AA40" s="258">
        <v>1.2E-2</v>
      </c>
      <c r="AB40" s="261">
        <v>0.11799999999999999</v>
      </c>
    </row>
    <row r="41" spans="1:28" x14ac:dyDescent="0.25">
      <c r="A41" s="254">
        <v>45476</v>
      </c>
      <c r="B41" s="255" t="s">
        <v>110</v>
      </c>
      <c r="C41" s="255" t="s">
        <v>308</v>
      </c>
      <c r="D41" s="256"/>
      <c r="E41" s="257">
        <v>14</v>
      </c>
      <c r="F41" s="258">
        <v>40</v>
      </c>
      <c r="G41" s="258"/>
      <c r="H41" s="258"/>
      <c r="I41" s="258">
        <v>0.1</v>
      </c>
      <c r="J41" s="258">
        <v>17.2</v>
      </c>
      <c r="K41" s="259">
        <v>0.02</v>
      </c>
      <c r="L41" s="258">
        <v>0.6</v>
      </c>
      <c r="M41" s="258">
        <v>1</v>
      </c>
      <c r="N41" s="258">
        <v>0.05</v>
      </c>
      <c r="O41" s="258">
        <v>1</v>
      </c>
      <c r="P41" s="258">
        <v>0.2</v>
      </c>
      <c r="Q41" s="258">
        <v>5.0000000000000001E-4</v>
      </c>
      <c r="R41" s="260">
        <v>1.7999999999999999E-2</v>
      </c>
      <c r="S41" s="260"/>
      <c r="T41" s="260"/>
      <c r="U41" s="260"/>
      <c r="V41" s="260"/>
      <c r="W41" s="260"/>
      <c r="X41" s="258">
        <v>5.0000000000000001E-4</v>
      </c>
      <c r="Y41" s="258">
        <v>5.0000000000000001E-4</v>
      </c>
      <c r="Z41" s="258">
        <v>1.0999999999999999E-2</v>
      </c>
      <c r="AA41" s="258">
        <v>1.9E-2</v>
      </c>
      <c r="AB41" s="261">
        <v>0.153</v>
      </c>
    </row>
    <row r="42" spans="1:28" x14ac:dyDescent="0.25">
      <c r="A42" s="254">
        <v>45546</v>
      </c>
      <c r="B42" s="255" t="s">
        <v>110</v>
      </c>
      <c r="C42" s="255" t="s">
        <v>309</v>
      </c>
      <c r="D42" s="256"/>
      <c r="E42" s="257">
        <v>9</v>
      </c>
      <c r="F42" s="258">
        <v>45</v>
      </c>
      <c r="G42" s="258"/>
      <c r="H42" s="258"/>
      <c r="I42" s="258">
        <v>0.1</v>
      </c>
      <c r="J42" s="258">
        <v>17.7</v>
      </c>
      <c r="K42" s="259">
        <v>0.02</v>
      </c>
      <c r="L42" s="258">
        <v>2.4300000000000002</v>
      </c>
      <c r="M42" s="258">
        <v>1.01</v>
      </c>
      <c r="N42" s="258">
        <v>0.19</v>
      </c>
      <c r="O42" s="258">
        <v>0.82</v>
      </c>
      <c r="P42" s="258">
        <v>0.2</v>
      </c>
      <c r="Q42" s="258">
        <v>5.0000000000000001E-4</v>
      </c>
      <c r="R42" s="260">
        <v>1.9E-2</v>
      </c>
      <c r="S42" s="260"/>
      <c r="T42" s="260"/>
      <c r="U42" s="260"/>
      <c r="V42" s="260"/>
      <c r="W42" s="260"/>
      <c r="X42" s="258">
        <v>5.0000000000000001E-4</v>
      </c>
      <c r="Y42" s="258">
        <v>5.0000000000000001E-4</v>
      </c>
      <c r="Z42" s="258">
        <v>5.0000000000000001E-4</v>
      </c>
      <c r="AA42" s="258">
        <v>3.7999999999999999E-2</v>
      </c>
      <c r="AB42" s="261">
        <v>0.153</v>
      </c>
    </row>
    <row r="43" spans="1:28" x14ac:dyDescent="0.25">
      <c r="A43" s="254">
        <v>45581</v>
      </c>
      <c r="B43" s="255" t="s">
        <v>110</v>
      </c>
      <c r="C43" s="255" t="s">
        <v>310</v>
      </c>
      <c r="D43" s="256"/>
      <c r="E43" s="257">
        <v>5</v>
      </c>
      <c r="F43" s="258">
        <v>21</v>
      </c>
      <c r="G43" s="258"/>
      <c r="H43" s="258"/>
      <c r="I43" s="258">
        <v>0.1</v>
      </c>
      <c r="J43" s="258">
        <v>12.5</v>
      </c>
      <c r="K43" s="259">
        <v>0.02</v>
      </c>
      <c r="L43" s="258">
        <v>0.86</v>
      </c>
      <c r="M43" s="258">
        <v>0.85</v>
      </c>
      <c r="N43" s="258">
        <v>0.15</v>
      </c>
      <c r="O43" s="258">
        <v>0.7</v>
      </c>
      <c r="P43" s="258">
        <v>0.2</v>
      </c>
      <c r="Q43" s="258">
        <v>5.0000000000000001E-4</v>
      </c>
      <c r="R43" s="260">
        <v>4.0000000000000002E-4</v>
      </c>
      <c r="S43" s="260"/>
      <c r="T43" s="260"/>
      <c r="U43" s="260"/>
      <c r="V43" s="260"/>
      <c r="W43" s="260"/>
      <c r="X43" s="258">
        <v>5.0000000000000001E-4</v>
      </c>
      <c r="Y43" s="258">
        <v>5.0000000000000001E-4</v>
      </c>
      <c r="Z43" s="258">
        <v>5.0000000000000001E-3</v>
      </c>
      <c r="AA43" s="258">
        <v>0.02</v>
      </c>
      <c r="AB43" s="261">
        <v>7.2999999999999995E-2</v>
      </c>
    </row>
    <row r="44" spans="1:28" x14ac:dyDescent="0.25">
      <c r="A44" s="254">
        <v>45602</v>
      </c>
      <c r="B44" s="255" t="s">
        <v>110</v>
      </c>
      <c r="C44" s="255" t="s">
        <v>311</v>
      </c>
      <c r="D44" s="256"/>
      <c r="E44" s="257">
        <v>7</v>
      </c>
      <c r="F44" s="258">
        <v>39</v>
      </c>
      <c r="G44" s="258"/>
      <c r="H44" s="258"/>
      <c r="I44" s="258">
        <v>0.1</v>
      </c>
      <c r="J44" s="258">
        <v>13.9</v>
      </c>
      <c r="K44" s="259">
        <v>0.02</v>
      </c>
      <c r="L44" s="258">
        <v>2.52</v>
      </c>
      <c r="M44" s="258">
        <v>1.1100000000000001</v>
      </c>
      <c r="N44" s="258">
        <v>0.31</v>
      </c>
      <c r="O44" s="258">
        <v>0.8</v>
      </c>
      <c r="P44" s="258">
        <v>0.2</v>
      </c>
      <c r="Q44" s="258">
        <v>5.0000000000000001E-4</v>
      </c>
      <c r="R44" s="260">
        <v>1.4E-2</v>
      </c>
      <c r="S44" s="260"/>
      <c r="T44" s="260"/>
      <c r="U44" s="260"/>
      <c r="V44" s="260"/>
      <c r="W44" s="260"/>
      <c r="X44" s="258">
        <v>5.0000000000000001E-4</v>
      </c>
      <c r="Y44" s="258">
        <v>5.0000000000000001E-4</v>
      </c>
      <c r="Z44" s="258">
        <v>0.01</v>
      </c>
      <c r="AA44" s="258">
        <v>2.5000000000000001E-2</v>
      </c>
      <c r="AB44" s="261">
        <v>0.109</v>
      </c>
    </row>
    <row r="45" spans="1:28" x14ac:dyDescent="0.25">
      <c r="A45" s="254">
        <v>45630</v>
      </c>
      <c r="B45" s="255" t="s">
        <v>110</v>
      </c>
      <c r="C45" s="255" t="s">
        <v>312</v>
      </c>
      <c r="D45" s="256"/>
      <c r="E45" s="257">
        <v>10</v>
      </c>
      <c r="F45" s="258">
        <v>32</v>
      </c>
      <c r="G45" s="258"/>
      <c r="H45" s="258"/>
      <c r="I45" s="258">
        <v>0.1</v>
      </c>
      <c r="J45" s="258">
        <v>17.5</v>
      </c>
      <c r="K45" s="259">
        <v>0.02</v>
      </c>
      <c r="L45" s="258">
        <v>0.67</v>
      </c>
      <c r="M45" s="258">
        <v>0.96</v>
      </c>
      <c r="N45" s="258">
        <v>0.16</v>
      </c>
      <c r="O45" s="258">
        <v>0.8</v>
      </c>
      <c r="P45" s="258">
        <v>0.2</v>
      </c>
      <c r="Q45" s="258">
        <v>5.0000000000000001E-4</v>
      </c>
      <c r="R45" s="260">
        <v>1.4999999999999999E-2</v>
      </c>
      <c r="S45" s="260"/>
      <c r="T45" s="260"/>
      <c r="U45" s="260"/>
      <c r="V45" s="260"/>
      <c r="W45" s="260"/>
      <c r="X45" s="258">
        <v>5.0000000000000001E-4</v>
      </c>
      <c r="Y45" s="258">
        <v>5.0000000000000001E-4</v>
      </c>
      <c r="Z45" s="258">
        <v>5.0000000000000001E-4</v>
      </c>
      <c r="AA45" s="258">
        <v>1.6E-2</v>
      </c>
      <c r="AB45" s="261">
        <v>8.2000000000000003E-2</v>
      </c>
    </row>
    <row r="46" spans="1:28" ht="15.75" thickBot="1" x14ac:dyDescent="0.3">
      <c r="A46" s="254"/>
      <c r="B46" s="255"/>
      <c r="C46" s="255"/>
      <c r="D46" s="262"/>
      <c r="E46" s="257"/>
      <c r="F46" s="258"/>
      <c r="G46" s="258"/>
      <c r="H46" s="258"/>
      <c r="I46" s="258"/>
      <c r="J46" s="258"/>
      <c r="K46" s="259"/>
      <c r="L46" s="258"/>
      <c r="M46" s="258"/>
      <c r="N46" s="258"/>
      <c r="O46" s="258"/>
      <c r="P46" s="258"/>
      <c r="Q46" s="258"/>
      <c r="R46" s="260"/>
      <c r="S46" s="260"/>
      <c r="T46" s="260"/>
      <c r="U46" s="260"/>
      <c r="V46" s="260"/>
      <c r="W46" s="260"/>
      <c r="X46" s="258"/>
      <c r="Y46" s="258"/>
      <c r="Z46" s="258"/>
      <c r="AA46" s="258"/>
      <c r="AB46" s="261"/>
    </row>
    <row r="47" spans="1:28" ht="16.5" thickTop="1" thickBot="1" x14ac:dyDescent="0.3">
      <c r="A47" s="263" t="s">
        <v>313</v>
      </c>
      <c r="B47" s="264"/>
      <c r="C47" s="264"/>
      <c r="D47" s="265"/>
      <c r="E47" s="269">
        <f t="shared" ref="E47:AB47" si="3">AVERAGE(E35:E46)</f>
        <v>8.9090909090909083</v>
      </c>
      <c r="F47" s="269">
        <f t="shared" si="3"/>
        <v>41.363636363636367</v>
      </c>
      <c r="G47" s="269"/>
      <c r="H47" s="269"/>
      <c r="I47" s="279">
        <f t="shared" si="3"/>
        <v>0.22727272727272735</v>
      </c>
      <c r="J47" s="279">
        <f t="shared" si="3"/>
        <v>15.418181818181818</v>
      </c>
      <c r="K47" s="279">
        <f t="shared" si="3"/>
        <v>2.2727272727272721E-2</v>
      </c>
      <c r="L47" s="279">
        <f t="shared" si="3"/>
        <v>1.1827272727272726</v>
      </c>
      <c r="M47" s="279">
        <f t="shared" si="3"/>
        <v>0.9309090909090908</v>
      </c>
      <c r="N47" s="279">
        <f t="shared" si="3"/>
        <v>0.15909090909090906</v>
      </c>
      <c r="O47" s="279">
        <f t="shared" si="3"/>
        <v>0.77454545454545465</v>
      </c>
      <c r="P47" s="279">
        <f t="shared" si="3"/>
        <v>0.19999999999999998</v>
      </c>
      <c r="Q47" s="279">
        <f t="shared" si="3"/>
        <v>5.0000000000000012E-4</v>
      </c>
      <c r="R47" s="279">
        <f t="shared" si="3"/>
        <v>1.3218181818181822E-2</v>
      </c>
      <c r="S47" s="279"/>
      <c r="T47" s="279"/>
      <c r="U47" s="279"/>
      <c r="V47" s="280"/>
      <c r="W47" s="279"/>
      <c r="X47" s="279">
        <f t="shared" si="3"/>
        <v>5.4545454545454558E-4</v>
      </c>
      <c r="Y47" s="279">
        <f t="shared" si="3"/>
        <v>1.272727272727273E-3</v>
      </c>
      <c r="Z47" s="279">
        <f t="shared" si="3"/>
        <v>1.4354545454545455E-2</v>
      </c>
      <c r="AA47" s="279">
        <f t="shared" si="3"/>
        <v>2.2272727272727274E-2</v>
      </c>
      <c r="AB47" s="281">
        <f t="shared" si="3"/>
        <v>0.11754545454545454</v>
      </c>
    </row>
    <row r="48" spans="1:28" ht="16.5" thickTop="1" thickBot="1" x14ac:dyDescent="0.3">
      <c r="A48" s="254">
        <v>45672</v>
      </c>
      <c r="B48" s="255" t="s">
        <v>110</v>
      </c>
      <c r="C48" s="255" t="s">
        <v>314</v>
      </c>
      <c r="D48" s="273"/>
      <c r="E48" s="257">
        <v>13</v>
      </c>
      <c r="F48" s="258">
        <v>32</v>
      </c>
      <c r="G48" s="258"/>
      <c r="H48" s="258"/>
      <c r="I48" s="258">
        <v>0.1</v>
      </c>
      <c r="J48" s="258">
        <v>17.600000000000001</v>
      </c>
      <c r="K48" s="258">
        <v>0.02</v>
      </c>
      <c r="L48" s="258">
        <v>0.52</v>
      </c>
      <c r="M48" s="258">
        <v>0.95</v>
      </c>
      <c r="N48" s="258">
        <v>0.15</v>
      </c>
      <c r="O48" s="258">
        <v>0.8</v>
      </c>
      <c r="P48" s="258">
        <v>0</v>
      </c>
      <c r="Q48" s="279">
        <f t="shared" ref="Q48" si="4">AVERAGE(Q38:Q47)</f>
        <v>5.0000000000000001E-4</v>
      </c>
      <c r="R48" s="260">
        <v>1.0999999999999999E-2</v>
      </c>
      <c r="S48" s="260"/>
      <c r="T48" s="260"/>
      <c r="U48" s="260"/>
      <c r="V48" s="260"/>
      <c r="W48" s="260"/>
      <c r="X48" s="258">
        <v>5.0000000000000001E-4</v>
      </c>
      <c r="Y48" s="258">
        <v>3.0000000000000001E-3</v>
      </c>
      <c r="Z48" s="258">
        <v>2E-3</v>
      </c>
      <c r="AA48" s="258">
        <v>1.2E-2</v>
      </c>
      <c r="AB48" s="261">
        <v>0.15</v>
      </c>
    </row>
    <row r="49" spans="1:28" ht="15.75" thickTop="1" x14ac:dyDescent="0.25">
      <c r="A49" s="254">
        <v>45693</v>
      </c>
      <c r="B49" s="255" t="s">
        <v>110</v>
      </c>
      <c r="C49" s="282" t="s">
        <v>315</v>
      </c>
      <c r="D49" s="256"/>
      <c r="E49" s="257">
        <v>32</v>
      </c>
      <c r="F49" s="258">
        <v>49</v>
      </c>
      <c r="G49" s="258">
        <v>15</v>
      </c>
      <c r="H49" s="258">
        <v>22.5</v>
      </c>
      <c r="I49" s="258">
        <v>0.1</v>
      </c>
      <c r="J49" s="258">
        <v>19.5</v>
      </c>
      <c r="K49" s="259">
        <v>0.02</v>
      </c>
      <c r="L49" s="258">
        <v>1.55</v>
      </c>
      <c r="M49" s="258">
        <v>1.22</v>
      </c>
      <c r="N49" s="258">
        <v>0.12</v>
      </c>
      <c r="O49" s="258">
        <v>1</v>
      </c>
      <c r="P49" s="258">
        <v>0.1</v>
      </c>
      <c r="Q49" s="258"/>
      <c r="R49" s="260">
        <v>0.02</v>
      </c>
      <c r="S49" s="260">
        <v>0.16</v>
      </c>
      <c r="T49" s="283" t="s">
        <v>276</v>
      </c>
      <c r="U49" s="260">
        <v>0.4</v>
      </c>
      <c r="V49" s="260"/>
      <c r="W49" s="260">
        <v>0</v>
      </c>
      <c r="X49" s="258"/>
      <c r="Y49" s="258">
        <v>5.0000000000000001E-4</v>
      </c>
      <c r="Z49" s="258"/>
      <c r="AA49" s="258">
        <v>8.0000000000000002E-3</v>
      </c>
      <c r="AB49" s="261">
        <v>0.47299999999999998</v>
      </c>
    </row>
    <row r="50" spans="1:28" x14ac:dyDescent="0.25">
      <c r="A50" s="254">
        <v>45728</v>
      </c>
      <c r="B50" s="255" t="s">
        <v>110</v>
      </c>
      <c r="C50" s="255" t="s">
        <v>316</v>
      </c>
      <c r="D50" s="256"/>
      <c r="E50" s="257">
        <v>5</v>
      </c>
      <c r="F50" s="258">
        <v>29</v>
      </c>
      <c r="G50" s="258">
        <v>5</v>
      </c>
      <c r="H50" s="258">
        <v>18</v>
      </c>
      <c r="I50" s="258">
        <v>0.1</v>
      </c>
      <c r="J50" s="258">
        <v>16.600000000000001</v>
      </c>
      <c r="K50" s="259">
        <v>0.02</v>
      </c>
      <c r="L50" s="258">
        <v>0.44</v>
      </c>
      <c r="M50" s="258">
        <v>0.73</v>
      </c>
      <c r="N50" s="258">
        <v>0.23</v>
      </c>
      <c r="O50" s="258">
        <v>0.5</v>
      </c>
      <c r="P50" s="258">
        <v>0.1</v>
      </c>
      <c r="Q50" s="258"/>
      <c r="R50" s="260">
        <v>7.0000000000000001E-3</v>
      </c>
      <c r="S50" s="260">
        <v>0.6</v>
      </c>
      <c r="T50" s="283" t="s">
        <v>276</v>
      </c>
      <c r="U50" s="260">
        <v>0.2</v>
      </c>
      <c r="V50" s="260"/>
      <c r="W50" s="260">
        <v>5.3999999999999999E-2</v>
      </c>
      <c r="X50" s="258"/>
      <c r="Y50" s="258">
        <v>5.9999999999999995E-4</v>
      </c>
      <c r="Z50" s="258"/>
      <c r="AA50" s="258">
        <v>1.4E-2</v>
      </c>
      <c r="AB50" s="261">
        <v>8.4000000000000005E-2</v>
      </c>
    </row>
    <row r="51" spans="1:28" x14ac:dyDescent="0.25">
      <c r="A51" s="254">
        <v>45748</v>
      </c>
      <c r="B51" s="255" t="s">
        <v>110</v>
      </c>
      <c r="C51" s="255" t="s">
        <v>317</v>
      </c>
      <c r="D51" s="256"/>
      <c r="E51" s="257">
        <v>19</v>
      </c>
      <c r="F51" s="258">
        <v>42</v>
      </c>
      <c r="G51" s="258">
        <v>12</v>
      </c>
      <c r="H51" s="258">
        <v>20.399999999999999</v>
      </c>
      <c r="I51" s="258">
        <v>0.1</v>
      </c>
      <c r="J51" s="258">
        <v>17.399999999999999</v>
      </c>
      <c r="K51" s="259">
        <v>0.02</v>
      </c>
      <c r="L51" s="258">
        <v>0.57999999999999996</v>
      </c>
      <c r="M51" s="258">
        <v>1.06</v>
      </c>
      <c r="N51" s="258">
        <v>0.18</v>
      </c>
      <c r="O51" s="258">
        <v>0.9</v>
      </c>
      <c r="P51" s="258">
        <v>0.1</v>
      </c>
      <c r="Q51" s="258"/>
      <c r="R51" s="260">
        <v>1.9E-2</v>
      </c>
      <c r="S51" s="260">
        <v>0.05</v>
      </c>
      <c r="T51" s="283" t="s">
        <v>276</v>
      </c>
      <c r="U51" s="260">
        <v>0.4</v>
      </c>
      <c r="V51" s="260"/>
      <c r="W51" s="260">
        <v>4.7E-2</v>
      </c>
      <c r="X51" s="258"/>
      <c r="Y51" s="258">
        <v>5.0000000000000001E-4</v>
      </c>
      <c r="Z51" s="258"/>
      <c r="AA51" s="258">
        <v>1.4999999999999999E-2</v>
      </c>
      <c r="AB51" s="261">
        <v>0.14699999999999999</v>
      </c>
    </row>
    <row r="52" spans="1:28" x14ac:dyDescent="0.25">
      <c r="A52" s="254">
        <v>45797</v>
      </c>
      <c r="B52" s="255" t="s">
        <v>110</v>
      </c>
      <c r="C52" s="255" t="s">
        <v>318</v>
      </c>
      <c r="D52" s="256"/>
      <c r="E52" s="257">
        <v>5</v>
      </c>
      <c r="F52" s="258">
        <v>36</v>
      </c>
      <c r="G52" s="258">
        <v>5</v>
      </c>
      <c r="H52" s="258">
        <v>12</v>
      </c>
      <c r="I52" s="258">
        <v>0.1</v>
      </c>
      <c r="J52" s="258">
        <v>13.6</v>
      </c>
      <c r="K52" s="259">
        <v>0.02</v>
      </c>
      <c r="L52" s="258">
        <v>1.52</v>
      </c>
      <c r="M52" s="258">
        <v>0.8</v>
      </c>
      <c r="N52" s="258">
        <v>0.1</v>
      </c>
      <c r="O52" s="258">
        <v>0.7</v>
      </c>
      <c r="P52" s="258">
        <v>0.1</v>
      </c>
      <c r="Q52" s="258"/>
      <c r="R52" s="260">
        <v>1.4E-2</v>
      </c>
      <c r="S52" s="260">
        <v>0.3</v>
      </c>
      <c r="T52" s="283" t="s">
        <v>276</v>
      </c>
      <c r="U52" s="260">
        <v>0.2</v>
      </c>
      <c r="V52" s="260"/>
      <c r="W52" s="260">
        <v>1.2E-2</v>
      </c>
      <c r="X52" s="258"/>
      <c r="Y52" s="258">
        <v>2E-3</v>
      </c>
      <c r="Z52" s="258"/>
      <c r="AA52" s="258">
        <v>0.03</v>
      </c>
      <c r="AB52" s="261">
        <v>0.14299999999999999</v>
      </c>
    </row>
    <row r="53" spans="1:28" x14ac:dyDescent="0.25">
      <c r="A53" s="254">
        <v>45820</v>
      </c>
      <c r="B53" s="255" t="s">
        <v>110</v>
      </c>
      <c r="C53" s="255" t="s">
        <v>319</v>
      </c>
      <c r="D53" s="256"/>
      <c r="E53" s="257">
        <v>12</v>
      </c>
      <c r="F53" s="258">
        <v>35</v>
      </c>
      <c r="G53" s="258">
        <v>5</v>
      </c>
      <c r="H53" s="258">
        <v>14.5</v>
      </c>
      <c r="I53" s="258">
        <v>0.1</v>
      </c>
      <c r="J53" s="258">
        <v>15.7</v>
      </c>
      <c r="K53" s="259">
        <v>0.02</v>
      </c>
      <c r="L53" s="258">
        <v>1</v>
      </c>
      <c r="M53" s="258">
        <v>1.18</v>
      </c>
      <c r="N53" s="258">
        <v>0.28000000000000003</v>
      </c>
      <c r="O53" s="258">
        <v>0.9</v>
      </c>
      <c r="P53" s="258">
        <v>0.1</v>
      </c>
      <c r="Q53" s="258"/>
      <c r="R53" s="260">
        <v>1.4E-2</v>
      </c>
      <c r="S53" s="260">
        <v>7.0000000000000007E-2</v>
      </c>
      <c r="T53" s="283" t="s">
        <v>276</v>
      </c>
      <c r="U53" s="260">
        <v>0.1</v>
      </c>
      <c r="V53" s="260"/>
      <c r="W53" s="260">
        <v>0.01</v>
      </c>
      <c r="X53" s="258"/>
      <c r="Y53" s="258">
        <v>5.0000000000000001E-4</v>
      </c>
      <c r="Z53" s="258"/>
      <c r="AA53" s="258">
        <v>2.5000000000000001E-2</v>
      </c>
      <c r="AB53" s="261">
        <v>0.104</v>
      </c>
    </row>
    <row r="54" spans="1:28" x14ac:dyDescent="0.25">
      <c r="A54" s="254">
        <v>45833</v>
      </c>
      <c r="B54" s="255" t="s">
        <v>110</v>
      </c>
      <c r="C54" s="255" t="s">
        <v>320</v>
      </c>
      <c r="D54" s="256"/>
      <c r="E54" s="257"/>
      <c r="F54" s="258"/>
      <c r="G54" s="258"/>
      <c r="H54" s="258"/>
      <c r="I54" s="258"/>
      <c r="J54" s="258"/>
      <c r="K54" s="259"/>
      <c r="L54" s="258"/>
      <c r="M54" s="258"/>
      <c r="N54" s="258"/>
      <c r="O54" s="258"/>
      <c r="P54" s="258"/>
      <c r="Q54" s="258"/>
      <c r="R54" s="260"/>
      <c r="S54" s="260"/>
      <c r="T54" s="283"/>
      <c r="U54" s="260"/>
      <c r="V54" s="260"/>
      <c r="W54" s="260"/>
      <c r="X54" s="258"/>
      <c r="Y54" s="258"/>
      <c r="Z54" s="258"/>
      <c r="AA54" s="258"/>
      <c r="AB54" s="261"/>
    </row>
    <row r="55" spans="1:28" x14ac:dyDescent="0.25">
      <c r="A55" s="254">
        <v>45833</v>
      </c>
      <c r="B55" s="255" t="s">
        <v>110</v>
      </c>
      <c r="C55" s="255" t="s">
        <v>406</v>
      </c>
      <c r="D55" s="256"/>
      <c r="E55" s="257">
        <v>21</v>
      </c>
      <c r="F55" s="258">
        <v>57</v>
      </c>
      <c r="G55" s="258">
        <v>19</v>
      </c>
      <c r="H55" s="258">
        <v>15</v>
      </c>
      <c r="I55" s="258">
        <v>0.1</v>
      </c>
      <c r="J55" s="258">
        <v>16.899999999999999</v>
      </c>
      <c r="K55" s="259">
        <v>0.02</v>
      </c>
      <c r="L55" s="258">
        <v>3.88</v>
      </c>
      <c r="M55" s="258">
        <v>1.32</v>
      </c>
      <c r="N55" s="258">
        <v>0.42</v>
      </c>
      <c r="O55" s="258">
        <v>0.9</v>
      </c>
      <c r="P55" s="258">
        <v>0.1</v>
      </c>
      <c r="Q55" s="258">
        <v>1.7000000000000001E-2</v>
      </c>
      <c r="R55" s="260">
        <v>0.1</v>
      </c>
      <c r="S55" s="260">
        <v>5.5555555555555552E-2</v>
      </c>
      <c r="T55" s="283" t="s">
        <v>276</v>
      </c>
      <c r="U55" s="260"/>
      <c r="V55" s="260"/>
      <c r="W55" s="260">
        <v>0.01</v>
      </c>
      <c r="X55" s="258">
        <v>1E-3</v>
      </c>
      <c r="Y55" s="258">
        <v>1E-3</v>
      </c>
      <c r="Z55" s="258">
        <v>0.13500000000000001</v>
      </c>
      <c r="AA55" s="258">
        <v>8.8999999999999996E-2</v>
      </c>
      <c r="AB55" s="261">
        <v>0.13500000000000001</v>
      </c>
    </row>
    <row r="56" spans="1:28" x14ac:dyDescent="0.25">
      <c r="A56" s="254">
        <v>45863</v>
      </c>
      <c r="B56" s="255" t="s">
        <v>321</v>
      </c>
      <c r="C56" s="255" t="s">
        <v>322</v>
      </c>
      <c r="D56" s="256"/>
      <c r="E56" s="257"/>
      <c r="F56" s="258"/>
      <c r="G56" s="258"/>
      <c r="H56" s="258"/>
      <c r="I56" s="258"/>
      <c r="J56" s="258"/>
      <c r="K56" s="259"/>
      <c r="L56" s="258"/>
      <c r="M56" s="258"/>
      <c r="N56" s="258"/>
      <c r="O56" s="258"/>
      <c r="P56" s="258"/>
      <c r="Q56" s="258"/>
      <c r="R56" s="260"/>
      <c r="S56" s="260"/>
      <c r="T56" s="283"/>
      <c r="U56" s="260"/>
      <c r="V56" s="260"/>
      <c r="W56" s="260"/>
      <c r="X56" s="258"/>
      <c r="Y56" s="258"/>
      <c r="Z56" s="258"/>
      <c r="AA56" s="258"/>
      <c r="AB56" s="261"/>
    </row>
    <row r="57" spans="1:28" x14ac:dyDescent="0.25">
      <c r="A57" s="254">
        <v>45916</v>
      </c>
      <c r="B57" s="255" t="s">
        <v>110</v>
      </c>
      <c r="C57" s="255" t="s">
        <v>323</v>
      </c>
      <c r="D57" s="256"/>
      <c r="E57" s="257">
        <v>5</v>
      </c>
      <c r="F57" s="258">
        <v>42</v>
      </c>
      <c r="G57" s="258">
        <v>5</v>
      </c>
      <c r="H57" s="258">
        <v>15.9</v>
      </c>
      <c r="I57" s="258">
        <v>0.2</v>
      </c>
      <c r="J57" s="258">
        <v>13.7</v>
      </c>
      <c r="K57" s="259">
        <v>0.02</v>
      </c>
      <c r="L57" s="258">
        <v>0.76</v>
      </c>
      <c r="M57" s="258">
        <v>0.64</v>
      </c>
      <c r="N57" s="258">
        <v>0.34</v>
      </c>
      <c r="O57" s="258">
        <v>0.3</v>
      </c>
      <c r="P57" s="258">
        <v>0.1</v>
      </c>
      <c r="Q57" s="258"/>
      <c r="R57" s="260">
        <v>2.3E-2</v>
      </c>
      <c r="S57" s="260">
        <v>0.29399999999999998</v>
      </c>
      <c r="T57" s="283" t="s">
        <v>276</v>
      </c>
      <c r="U57" s="260">
        <v>0.1</v>
      </c>
      <c r="V57" s="260"/>
      <c r="W57" s="260">
        <v>0.01</v>
      </c>
      <c r="X57" s="258"/>
      <c r="Y57" s="258">
        <v>4.0000000000000001E-3</v>
      </c>
      <c r="Z57" s="258"/>
      <c r="AA57" s="258">
        <v>2.1999999999999999E-2</v>
      </c>
      <c r="AB57" s="261">
        <v>0.17199999999999999</v>
      </c>
    </row>
    <row r="58" spans="1:28" x14ac:dyDescent="0.25">
      <c r="A58" s="254">
        <v>45916</v>
      </c>
      <c r="B58" s="255" t="s">
        <v>110</v>
      </c>
      <c r="C58" s="255" t="s">
        <v>324</v>
      </c>
      <c r="D58" s="256"/>
      <c r="E58" s="257"/>
      <c r="F58" s="258"/>
      <c r="G58" s="258"/>
      <c r="H58" s="258"/>
      <c r="I58" s="258"/>
      <c r="J58" s="258"/>
      <c r="K58" s="259"/>
      <c r="L58" s="258"/>
      <c r="M58" s="258"/>
      <c r="N58" s="258"/>
      <c r="O58" s="258"/>
      <c r="P58" s="258"/>
      <c r="Q58" s="258"/>
      <c r="R58" s="260"/>
      <c r="S58" s="260"/>
      <c r="T58" s="283"/>
      <c r="U58" s="260"/>
      <c r="V58" s="260"/>
      <c r="W58" s="260"/>
      <c r="X58" s="258"/>
      <c r="Y58" s="258"/>
      <c r="Z58" s="258"/>
      <c r="AA58" s="258"/>
      <c r="AB58" s="261"/>
    </row>
    <row r="59" spans="1:28" x14ac:dyDescent="0.25">
      <c r="A59" s="254">
        <v>45944</v>
      </c>
      <c r="B59" s="255" t="s">
        <v>110</v>
      </c>
      <c r="C59" s="255" t="s">
        <v>325</v>
      </c>
      <c r="D59" s="256"/>
      <c r="E59" s="257">
        <v>19</v>
      </c>
      <c r="F59" s="258">
        <v>40</v>
      </c>
      <c r="G59" s="258">
        <v>8.5</v>
      </c>
      <c r="H59" s="258">
        <v>14.1</v>
      </c>
      <c r="I59" s="258">
        <v>0.2</v>
      </c>
      <c r="J59" s="258">
        <v>10.9</v>
      </c>
      <c r="K59" s="259">
        <v>0.02</v>
      </c>
      <c r="L59" s="258">
        <v>0.77</v>
      </c>
      <c r="M59" s="258">
        <v>0.49</v>
      </c>
      <c r="N59" s="258">
        <v>0.19</v>
      </c>
      <c r="O59" s="258">
        <v>0.3</v>
      </c>
      <c r="P59" s="258">
        <v>0.2</v>
      </c>
      <c r="Q59" s="258"/>
      <c r="R59" s="260">
        <v>1.7999999999999999E-2</v>
      </c>
      <c r="S59" s="260">
        <v>0.32300000000000001</v>
      </c>
      <c r="T59" s="283" t="s">
        <v>276</v>
      </c>
      <c r="U59" s="260">
        <v>0.1</v>
      </c>
      <c r="V59" s="260"/>
      <c r="W59" s="260">
        <v>0.02</v>
      </c>
      <c r="X59" s="258"/>
      <c r="Y59" s="258">
        <v>2E-3</v>
      </c>
      <c r="Z59" s="258"/>
      <c r="AA59" s="258">
        <v>2.1000000000000001E-2</v>
      </c>
      <c r="AB59" s="261">
        <v>0.16300000000000001</v>
      </c>
    </row>
    <row r="60" spans="1:28" x14ac:dyDescent="0.25">
      <c r="A60" s="254">
        <v>45979</v>
      </c>
      <c r="B60" s="255" t="s">
        <v>110</v>
      </c>
      <c r="C60" s="255" t="s">
        <v>326</v>
      </c>
      <c r="D60" s="256"/>
      <c r="E60" s="257">
        <v>5</v>
      </c>
      <c r="F60" s="258">
        <v>33</v>
      </c>
      <c r="G60" s="258">
        <v>5</v>
      </c>
      <c r="H60" s="258">
        <v>14.9</v>
      </c>
      <c r="I60" s="258">
        <v>0.2</v>
      </c>
      <c r="J60" s="258">
        <v>11.2</v>
      </c>
      <c r="K60" s="259">
        <v>0.02</v>
      </c>
      <c r="L60" s="258">
        <v>0.74</v>
      </c>
      <c r="M60" s="258">
        <v>0.77</v>
      </c>
      <c r="N60" s="258">
        <v>0.17</v>
      </c>
      <c r="O60" s="258">
        <v>0.6</v>
      </c>
      <c r="P60" s="258">
        <v>0.1</v>
      </c>
      <c r="Q60" s="258"/>
      <c r="R60" s="260">
        <v>1.9E-2</v>
      </c>
      <c r="S60" s="260">
        <v>0.64</v>
      </c>
      <c r="T60" s="283" t="s">
        <v>276</v>
      </c>
      <c r="U60" s="260">
        <v>0.1</v>
      </c>
      <c r="V60" s="260"/>
      <c r="W60" s="260">
        <v>1.2999999999999999E-2</v>
      </c>
      <c r="X60" s="258"/>
      <c r="Y60" s="258">
        <v>1E-3</v>
      </c>
      <c r="Z60" s="258"/>
      <c r="AA60" s="258">
        <v>2.3E-2</v>
      </c>
      <c r="AB60" s="261">
        <v>0.16</v>
      </c>
    </row>
    <row r="61" spans="1:28" x14ac:dyDescent="0.25">
      <c r="A61" s="254">
        <v>45974</v>
      </c>
      <c r="B61" s="255" t="s">
        <v>110</v>
      </c>
      <c r="C61" s="255" t="s">
        <v>327</v>
      </c>
      <c r="D61" s="256"/>
      <c r="E61" s="257"/>
      <c r="F61" s="258"/>
      <c r="G61" s="258"/>
      <c r="H61" s="258"/>
      <c r="I61" s="258"/>
      <c r="J61" s="258"/>
      <c r="K61" s="259"/>
      <c r="L61" s="258"/>
      <c r="M61" s="258"/>
      <c r="N61" s="258"/>
      <c r="O61" s="258"/>
      <c r="P61" s="258"/>
      <c r="Q61" s="258"/>
      <c r="R61" s="260"/>
      <c r="S61" s="260"/>
      <c r="T61" s="283"/>
      <c r="U61" s="260"/>
      <c r="V61" s="260"/>
      <c r="W61" s="260"/>
      <c r="X61" s="258"/>
      <c r="Y61" s="258"/>
      <c r="Z61" s="258"/>
      <c r="AA61" s="258"/>
      <c r="AB61" s="261"/>
    </row>
    <row r="62" spans="1:28" x14ac:dyDescent="0.25">
      <c r="A62" s="254">
        <v>46001</v>
      </c>
      <c r="B62" s="255" t="s">
        <v>110</v>
      </c>
      <c r="C62" s="255" t="s">
        <v>328</v>
      </c>
      <c r="D62" s="256"/>
      <c r="E62" s="257">
        <v>5</v>
      </c>
      <c r="F62" s="258">
        <v>60</v>
      </c>
      <c r="G62" s="258">
        <v>5</v>
      </c>
      <c r="H62" s="258">
        <v>13</v>
      </c>
      <c r="I62" s="258">
        <v>0.1</v>
      </c>
      <c r="J62" s="258">
        <v>10.8</v>
      </c>
      <c r="K62" s="259">
        <v>0.02</v>
      </c>
      <c r="L62" s="258">
        <v>0.9</v>
      </c>
      <c r="M62" s="258">
        <v>0.73</v>
      </c>
      <c r="N62" s="258">
        <v>0.13</v>
      </c>
      <c r="O62" s="258">
        <v>0.6</v>
      </c>
      <c r="P62" s="258">
        <v>0.1</v>
      </c>
      <c r="Q62" s="258"/>
      <c r="R62" s="260">
        <v>1.6E-2</v>
      </c>
      <c r="S62" s="260">
        <v>0.28000000000000003</v>
      </c>
      <c r="T62" s="283" t="s">
        <v>276</v>
      </c>
      <c r="U62" s="260">
        <v>0.3</v>
      </c>
      <c r="V62" s="260"/>
      <c r="W62" s="260">
        <v>2.8000000000000001E-2</v>
      </c>
      <c r="X62" s="258"/>
      <c r="Y62" s="258">
        <v>2E-3</v>
      </c>
      <c r="Z62" s="258"/>
      <c r="AA62" s="258">
        <v>1.0999999999999999E-2</v>
      </c>
      <c r="AB62" s="261">
        <v>0.13700000000000001</v>
      </c>
    </row>
    <row r="63" spans="1:28" ht="15.75" thickBot="1" x14ac:dyDescent="0.3">
      <c r="A63" s="254"/>
      <c r="B63" s="255"/>
      <c r="C63" s="255"/>
      <c r="D63" s="262"/>
      <c r="E63" s="257"/>
      <c r="F63" s="258"/>
      <c r="G63" s="258"/>
      <c r="H63" s="258"/>
      <c r="I63" s="258"/>
      <c r="J63" s="258"/>
      <c r="K63" s="259"/>
      <c r="L63" s="258"/>
      <c r="M63" s="258"/>
      <c r="N63" s="258"/>
      <c r="O63" s="258"/>
      <c r="P63" s="258"/>
      <c r="Q63" s="258"/>
      <c r="R63" s="260"/>
      <c r="S63" s="260"/>
      <c r="T63" s="260"/>
      <c r="U63" s="260"/>
      <c r="V63" s="260"/>
      <c r="W63" s="260"/>
      <c r="X63" s="258"/>
      <c r="Y63" s="258"/>
      <c r="Z63" s="258"/>
      <c r="AA63" s="258"/>
      <c r="AB63" s="261"/>
    </row>
    <row r="64" spans="1:28" ht="16.5" thickTop="1" thickBot="1" x14ac:dyDescent="0.3">
      <c r="A64" s="263" t="s">
        <v>329</v>
      </c>
      <c r="B64" s="264"/>
      <c r="C64" s="264"/>
      <c r="D64" s="265"/>
      <c r="E64" s="266">
        <f t="shared" ref="E64:AB64" si="5">AVERAGE(E48:E63)</f>
        <v>12.818181818181818</v>
      </c>
      <c r="F64" s="266">
        <f t="shared" si="5"/>
        <v>41.363636363636367</v>
      </c>
      <c r="G64" s="266">
        <f t="shared" si="5"/>
        <v>8.4499999999999993</v>
      </c>
      <c r="H64" s="266">
        <f t="shared" si="5"/>
        <v>16.03</v>
      </c>
      <c r="I64" s="266">
        <f t="shared" si="5"/>
        <v>0.12727272727272726</v>
      </c>
      <c r="J64" s="266">
        <f t="shared" si="5"/>
        <v>14.899999999999999</v>
      </c>
      <c r="K64" s="266">
        <f t="shared" si="5"/>
        <v>1.9999999999999997E-2</v>
      </c>
      <c r="L64" s="266">
        <f t="shared" si="5"/>
        <v>1.1509090909090909</v>
      </c>
      <c r="M64" s="266">
        <f t="shared" si="5"/>
        <v>0.89909090909090894</v>
      </c>
      <c r="N64" s="266">
        <f t="shared" si="5"/>
        <v>0.21</v>
      </c>
      <c r="O64" s="266">
        <f t="shared" si="5"/>
        <v>0.68181818181818177</v>
      </c>
      <c r="P64" s="266">
        <f t="shared" si="5"/>
        <v>9.9999999999999992E-2</v>
      </c>
      <c r="Q64" s="266">
        <f t="shared" si="5"/>
        <v>8.7500000000000008E-3</v>
      </c>
      <c r="R64" s="266">
        <f t="shared" si="5"/>
        <v>2.3727272727272722E-2</v>
      </c>
      <c r="S64" s="266">
        <f t="shared" si="5"/>
        <v>0.27725555555555559</v>
      </c>
      <c r="T64" s="266"/>
      <c r="U64" s="266">
        <f t="shared" si="5"/>
        <v>0.21111111111111114</v>
      </c>
      <c r="V64" s="266"/>
      <c r="W64" s="266">
        <f t="shared" si="5"/>
        <v>2.0400000000000001E-2</v>
      </c>
      <c r="X64" s="266">
        <f t="shared" si="5"/>
        <v>7.5000000000000002E-4</v>
      </c>
      <c r="Y64" s="266">
        <f t="shared" si="5"/>
        <v>1.5545454545454543E-3</v>
      </c>
      <c r="Z64" s="266">
        <f t="shared" si="5"/>
        <v>6.8500000000000005E-2</v>
      </c>
      <c r="AA64" s="266">
        <f t="shared" si="5"/>
        <v>2.4545454545454547E-2</v>
      </c>
      <c r="AB64" s="266">
        <f t="shared" si="5"/>
        <v>0.16981818181818181</v>
      </c>
    </row>
    <row r="65" spans="1:28" ht="16.5" thickTop="1" thickBot="1" x14ac:dyDescent="0.3">
      <c r="A65" s="254"/>
      <c r="B65" s="255" t="s">
        <v>110</v>
      </c>
      <c r="C65" s="255"/>
      <c r="D65" s="273"/>
      <c r="E65" s="257"/>
      <c r="F65" s="258"/>
      <c r="G65" s="258"/>
      <c r="H65" s="258"/>
      <c r="I65" s="258"/>
      <c r="J65" s="258"/>
      <c r="K65" s="258"/>
      <c r="L65" s="258"/>
      <c r="M65" s="258"/>
      <c r="N65" s="258"/>
      <c r="O65" s="258"/>
      <c r="P65" s="258"/>
      <c r="Q65" s="279"/>
      <c r="R65" s="260"/>
      <c r="S65" s="260"/>
      <c r="T65" s="260"/>
      <c r="U65" s="260"/>
      <c r="V65" s="260"/>
      <c r="W65" s="260"/>
      <c r="X65" s="258"/>
      <c r="Y65" s="258"/>
      <c r="Z65" s="258"/>
      <c r="AA65" s="258"/>
      <c r="AB65" s="261"/>
    </row>
    <row r="66" spans="1:28" ht="15.75" thickTop="1" x14ac:dyDescent="0.25">
      <c r="A66" s="254"/>
      <c r="B66" s="255" t="s">
        <v>110</v>
      </c>
      <c r="C66" s="282"/>
      <c r="D66" s="256"/>
      <c r="E66" s="257"/>
      <c r="F66" s="258"/>
      <c r="G66" s="258"/>
      <c r="H66" s="258"/>
      <c r="I66" s="258"/>
      <c r="J66" s="258"/>
      <c r="K66" s="259"/>
      <c r="L66" s="258"/>
      <c r="M66" s="258"/>
      <c r="N66" s="258"/>
      <c r="O66" s="258"/>
      <c r="P66" s="258"/>
      <c r="Q66" s="258"/>
      <c r="R66" s="260"/>
      <c r="S66" s="260"/>
      <c r="T66" s="260"/>
      <c r="U66" s="260"/>
      <c r="V66" s="260"/>
      <c r="W66" s="260"/>
      <c r="X66" s="258"/>
      <c r="Y66" s="258"/>
      <c r="Z66" s="258"/>
      <c r="AA66" s="258"/>
      <c r="AB66" s="261"/>
    </row>
    <row r="67" spans="1:28" x14ac:dyDescent="0.25">
      <c r="A67" s="254"/>
      <c r="B67" s="255" t="s">
        <v>110</v>
      </c>
      <c r="C67" s="255"/>
      <c r="D67" s="256"/>
      <c r="E67" s="257"/>
      <c r="F67" s="258"/>
      <c r="G67" s="258"/>
      <c r="H67" s="258"/>
      <c r="I67" s="258"/>
      <c r="J67" s="258"/>
      <c r="K67" s="259"/>
      <c r="L67" s="258"/>
      <c r="M67" s="258"/>
      <c r="N67" s="258"/>
      <c r="O67" s="258"/>
      <c r="P67" s="258"/>
      <c r="Q67" s="258"/>
      <c r="R67" s="260"/>
      <c r="S67" s="260"/>
      <c r="T67" s="260"/>
      <c r="U67" s="260"/>
      <c r="V67" s="260"/>
      <c r="W67" s="260"/>
      <c r="X67" s="258"/>
      <c r="Y67" s="258"/>
      <c r="Z67" s="258"/>
      <c r="AA67" s="258"/>
      <c r="AB67" s="261"/>
    </row>
    <row r="68" spans="1:28" x14ac:dyDescent="0.25">
      <c r="A68" s="254"/>
      <c r="B68" s="255" t="s">
        <v>110</v>
      </c>
      <c r="C68" s="255"/>
      <c r="D68" s="256"/>
      <c r="E68" s="257"/>
      <c r="F68" s="258"/>
      <c r="G68" s="258"/>
      <c r="H68" s="258"/>
      <c r="I68" s="258"/>
      <c r="J68" s="258"/>
      <c r="K68" s="259"/>
      <c r="L68" s="258"/>
      <c r="M68" s="258"/>
      <c r="N68" s="258"/>
      <c r="O68" s="258"/>
      <c r="P68" s="258"/>
      <c r="Q68" s="258"/>
      <c r="R68" s="260"/>
      <c r="S68" s="260"/>
      <c r="T68" s="260"/>
      <c r="U68" s="260"/>
      <c r="V68" s="260"/>
      <c r="W68" s="260"/>
      <c r="X68" s="258"/>
      <c r="Y68" s="258"/>
      <c r="Z68" s="258"/>
      <c r="AA68" s="258"/>
      <c r="AB68" s="261"/>
    </row>
    <row r="69" spans="1:28" x14ac:dyDescent="0.25">
      <c r="A69" s="254"/>
      <c r="B69" s="255" t="s">
        <v>110</v>
      </c>
      <c r="C69" s="255"/>
      <c r="D69" s="256"/>
      <c r="E69" s="257"/>
      <c r="F69" s="258"/>
      <c r="G69" s="258"/>
      <c r="H69" s="258"/>
      <c r="I69" s="258"/>
      <c r="J69" s="258"/>
      <c r="K69" s="259"/>
      <c r="L69" s="258"/>
      <c r="M69" s="258"/>
      <c r="N69" s="258"/>
      <c r="O69" s="258"/>
      <c r="P69" s="258"/>
      <c r="Q69" s="258"/>
      <c r="R69" s="260"/>
      <c r="S69" s="260"/>
      <c r="T69" s="283"/>
      <c r="U69" s="260"/>
      <c r="V69" s="260"/>
      <c r="W69" s="260"/>
      <c r="X69" s="258"/>
      <c r="Y69" s="258"/>
      <c r="Z69" s="258"/>
      <c r="AA69" s="258"/>
      <c r="AB69" s="261"/>
    </row>
    <row r="70" spans="1:28" x14ac:dyDescent="0.25">
      <c r="A70" s="254"/>
      <c r="B70" s="255" t="s">
        <v>110</v>
      </c>
      <c r="C70" s="255"/>
      <c r="D70" s="256"/>
      <c r="E70" s="257"/>
      <c r="F70" s="258"/>
      <c r="G70" s="258"/>
      <c r="H70" s="258"/>
      <c r="I70" s="258"/>
      <c r="J70" s="258"/>
      <c r="K70" s="259"/>
      <c r="L70" s="258"/>
      <c r="M70" s="258"/>
      <c r="N70" s="258"/>
      <c r="O70" s="258"/>
      <c r="P70" s="258"/>
      <c r="Q70" s="258"/>
      <c r="R70" s="260"/>
      <c r="S70" s="260"/>
      <c r="T70" s="283"/>
      <c r="U70" s="260"/>
      <c r="V70" s="260"/>
      <c r="W70" s="260"/>
      <c r="X70" s="258"/>
      <c r="Y70" s="258"/>
      <c r="Z70" s="258"/>
      <c r="AA70" s="258"/>
      <c r="AB70" s="261"/>
    </row>
    <row r="71" spans="1:28" x14ac:dyDescent="0.25">
      <c r="A71" s="254"/>
      <c r="B71" s="255" t="s">
        <v>110</v>
      </c>
      <c r="C71" s="255"/>
      <c r="D71" s="256"/>
      <c r="E71" s="257"/>
      <c r="F71" s="258"/>
      <c r="G71" s="258"/>
      <c r="H71" s="258"/>
      <c r="I71" s="258"/>
      <c r="J71" s="258"/>
      <c r="K71" s="259"/>
      <c r="L71" s="258"/>
      <c r="M71" s="258"/>
      <c r="N71" s="258"/>
      <c r="O71" s="258"/>
      <c r="P71" s="258"/>
      <c r="Q71" s="258"/>
      <c r="R71" s="260"/>
      <c r="S71" s="260"/>
      <c r="T71" s="283"/>
      <c r="U71" s="260"/>
      <c r="V71" s="260"/>
      <c r="W71" s="260"/>
      <c r="X71" s="258"/>
      <c r="Y71" s="258"/>
      <c r="Z71" s="258"/>
      <c r="AA71" s="258"/>
      <c r="AB71" s="261"/>
    </row>
    <row r="72" spans="1:28" x14ac:dyDescent="0.25">
      <c r="A72" s="254"/>
      <c r="B72" s="255" t="s">
        <v>110</v>
      </c>
      <c r="C72" s="255"/>
      <c r="D72" s="256"/>
      <c r="E72" s="257"/>
      <c r="F72" s="258"/>
      <c r="G72" s="258"/>
      <c r="H72" s="258"/>
      <c r="I72" s="258"/>
      <c r="J72" s="258"/>
      <c r="K72" s="259"/>
      <c r="L72" s="258"/>
      <c r="M72" s="258"/>
      <c r="N72" s="258"/>
      <c r="O72" s="258"/>
      <c r="P72" s="258"/>
      <c r="Q72" s="258"/>
      <c r="R72" s="260"/>
      <c r="S72" s="260"/>
      <c r="T72" s="283"/>
      <c r="U72" s="260"/>
      <c r="V72" s="260"/>
      <c r="W72" s="260"/>
      <c r="X72" s="258"/>
      <c r="Y72" s="258"/>
      <c r="Z72" s="258"/>
      <c r="AA72" s="258"/>
      <c r="AB72" s="261"/>
    </row>
    <row r="73" spans="1:28" x14ac:dyDescent="0.25">
      <c r="A73" s="254"/>
      <c r="B73" s="255" t="s">
        <v>110</v>
      </c>
      <c r="C73" s="255"/>
      <c r="D73" s="256"/>
      <c r="E73" s="257"/>
      <c r="F73" s="258"/>
      <c r="G73" s="258"/>
      <c r="H73" s="258"/>
      <c r="I73" s="258"/>
      <c r="J73" s="258"/>
      <c r="K73" s="259"/>
      <c r="L73" s="258"/>
      <c r="M73" s="258"/>
      <c r="N73" s="258"/>
      <c r="O73" s="258"/>
      <c r="P73" s="258"/>
      <c r="Q73" s="258"/>
      <c r="R73" s="260"/>
      <c r="S73" s="260"/>
      <c r="T73" s="283"/>
      <c r="U73" s="260"/>
      <c r="V73" s="260"/>
      <c r="W73" s="260"/>
      <c r="X73" s="258"/>
      <c r="Y73" s="258"/>
      <c r="Z73" s="258"/>
      <c r="AA73" s="258"/>
      <c r="AB73" s="261"/>
    </row>
    <row r="74" spans="1:28" x14ac:dyDescent="0.25">
      <c r="A74" s="254"/>
      <c r="B74" s="255"/>
      <c r="C74" s="255"/>
      <c r="D74" s="256"/>
      <c r="E74" s="257"/>
      <c r="F74" s="258"/>
      <c r="G74" s="258"/>
      <c r="H74" s="258"/>
      <c r="I74" s="258"/>
      <c r="J74" s="258"/>
      <c r="K74" s="259"/>
      <c r="L74" s="258"/>
      <c r="M74" s="258"/>
      <c r="N74" s="258"/>
      <c r="O74" s="258"/>
      <c r="P74" s="258"/>
      <c r="Q74" s="258"/>
      <c r="R74" s="260"/>
      <c r="S74" s="260"/>
      <c r="T74" s="283"/>
      <c r="U74" s="260"/>
      <c r="V74" s="260"/>
      <c r="W74" s="260"/>
      <c r="X74" s="258"/>
      <c r="Y74" s="258"/>
      <c r="Z74" s="258"/>
      <c r="AA74" s="258"/>
      <c r="AB74" s="261"/>
    </row>
    <row r="75" spans="1:28" ht="15.75" thickBot="1" x14ac:dyDescent="0.3">
      <c r="A75" s="254"/>
      <c r="B75" s="255"/>
      <c r="C75" s="255"/>
      <c r="D75" s="262"/>
      <c r="E75" s="257"/>
      <c r="F75" s="258"/>
      <c r="G75" s="258"/>
      <c r="H75" s="258"/>
      <c r="I75" s="258"/>
      <c r="J75" s="258"/>
      <c r="K75" s="259"/>
      <c r="L75" s="258"/>
      <c r="M75" s="258"/>
      <c r="N75" s="258"/>
      <c r="O75" s="258"/>
      <c r="P75" s="258"/>
      <c r="Q75" s="258"/>
      <c r="R75" s="260"/>
      <c r="S75" s="260"/>
      <c r="T75" s="260"/>
      <c r="U75" s="260"/>
      <c r="V75" s="260"/>
      <c r="W75" s="260"/>
      <c r="X75" s="258"/>
      <c r="Y75" s="258"/>
      <c r="Z75" s="258"/>
      <c r="AA75" s="258"/>
      <c r="AB75" s="261"/>
    </row>
    <row r="76" spans="1:28" ht="16.5" thickTop="1" thickBot="1" x14ac:dyDescent="0.3">
      <c r="A76" s="263" t="s">
        <v>330</v>
      </c>
      <c r="B76" s="264"/>
      <c r="C76" s="264"/>
      <c r="D76" s="265"/>
      <c r="E76" s="266" t="e">
        <f>AVERAGE(E65:E75)</f>
        <v>#DIV/0!</v>
      </c>
      <c r="F76" s="266" t="e">
        <f t="shared" ref="F76:AB76" si="6">AVERAGE(F65:F75)</f>
        <v>#DIV/0!</v>
      </c>
      <c r="G76" s="266"/>
      <c r="H76" s="266"/>
      <c r="I76" s="266" t="e">
        <f t="shared" si="6"/>
        <v>#DIV/0!</v>
      </c>
      <c r="J76" s="266" t="e">
        <f t="shared" si="6"/>
        <v>#DIV/0!</v>
      </c>
      <c r="K76" s="266" t="e">
        <f t="shared" si="6"/>
        <v>#DIV/0!</v>
      </c>
      <c r="L76" s="266" t="e">
        <f t="shared" si="6"/>
        <v>#DIV/0!</v>
      </c>
      <c r="M76" s="266" t="e">
        <f t="shared" si="6"/>
        <v>#DIV/0!</v>
      </c>
      <c r="N76" s="266" t="e">
        <f t="shared" si="6"/>
        <v>#DIV/0!</v>
      </c>
      <c r="O76" s="266" t="e">
        <f t="shared" si="6"/>
        <v>#DIV/0!</v>
      </c>
      <c r="P76" s="266" t="e">
        <f t="shared" si="6"/>
        <v>#DIV/0!</v>
      </c>
      <c r="Q76" s="266" t="e">
        <f t="shared" si="6"/>
        <v>#DIV/0!</v>
      </c>
      <c r="R76" s="266" t="e">
        <f t="shared" si="6"/>
        <v>#DIV/0!</v>
      </c>
      <c r="S76" s="266" t="e">
        <f t="shared" si="6"/>
        <v>#DIV/0!</v>
      </c>
      <c r="T76" s="266" t="e">
        <f t="shared" si="6"/>
        <v>#DIV/0!</v>
      </c>
      <c r="U76" s="266" t="e">
        <f t="shared" si="6"/>
        <v>#DIV/0!</v>
      </c>
      <c r="V76" s="266" t="e">
        <f t="shared" si="6"/>
        <v>#DIV/0!</v>
      </c>
      <c r="W76" s="266" t="e">
        <f t="shared" si="6"/>
        <v>#DIV/0!</v>
      </c>
      <c r="X76" s="266" t="e">
        <f t="shared" si="6"/>
        <v>#DIV/0!</v>
      </c>
      <c r="Y76" s="266" t="e">
        <f t="shared" si="6"/>
        <v>#DIV/0!</v>
      </c>
      <c r="Z76" s="266" t="e">
        <f t="shared" si="6"/>
        <v>#DIV/0!</v>
      </c>
      <c r="AA76" s="266" t="e">
        <f t="shared" si="6"/>
        <v>#DIV/0!</v>
      </c>
      <c r="AB76" s="266" t="e">
        <f t="shared" si="6"/>
        <v>#DIV/0!</v>
      </c>
    </row>
    <row r="77" spans="1:28" ht="15.75" thickTop="1" x14ac:dyDescent="0.25"/>
  </sheetData>
  <mergeCells count="1">
    <mergeCell ref="A5:A6"/>
  </mergeCells>
  <conditionalFormatting sqref="E7:AB76">
    <cfRule type="cellIs" dxfId="1" priority="1" operator="greaterThan">
      <formula>E$5</formula>
    </cfRule>
    <cfRule type="cellIs" dxfId="0" priority="2" operator="equal">
      <formula>E$6</formula>
    </cfRule>
  </conditionalFormatting>
  <pageMargins left="0.70866141732283472" right="0.70866141732283472" top="0.74803149606299213" bottom="0.74803149606299213" header="0.31496062992125984" footer="0.31496062992125984"/>
  <pageSetup paperSize="9" scale="44" fitToWidth="4" orientation="landscape" r:id="rId1"/>
  <headerFooter>
    <oddFooter>&amp;L&amp;F&amp;C&amp;A&amp;RPagina &amp;P</oddFooter>
  </headerFooter>
  <rowBreaks count="1" manualBreakCount="1">
    <brk id="6" max="16383" man="1"/>
  </rowBreaks>
  <colBreaks count="1" manualBreakCount="1">
    <brk id="35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CA590-B52E-4FD2-A678-CC4BC60A54FD}">
  <sheetPr>
    <tabColor theme="5" tint="-0.249977111117893"/>
    <pageSetUpPr fitToPage="1"/>
  </sheetPr>
  <dimension ref="A1:CM51"/>
  <sheetViews>
    <sheetView showGridLines="0" zoomScale="96" zoomScaleNormal="96" zoomScaleSheetLayoutView="40" workbookViewId="0">
      <selection activeCell="K13" sqref="K13"/>
    </sheetView>
  </sheetViews>
  <sheetFormatPr defaultColWidth="9.28515625" defaultRowHeight="15" x14ac:dyDescent="0.2"/>
  <cols>
    <col min="1" max="1" width="60.7109375" style="284" customWidth="1"/>
    <col min="2" max="2" width="11.7109375" style="285" customWidth="1"/>
    <col min="3" max="3" width="11.7109375" style="284" customWidth="1"/>
    <col min="4" max="4" width="13.5703125" style="284" customWidth="1"/>
    <col min="5" max="5" width="11.7109375" style="284" customWidth="1"/>
    <col min="6" max="10" width="15.7109375" style="284" customWidth="1"/>
    <col min="11" max="11" width="19" style="284" bestFit="1" customWidth="1"/>
    <col min="12" max="15" width="26.140625" style="284" bestFit="1" customWidth="1"/>
    <col min="16" max="16" width="10.5703125" style="284" bestFit="1" customWidth="1"/>
    <col min="17" max="17" width="7.42578125" style="284" bestFit="1" customWidth="1"/>
    <col min="18" max="18" width="27.28515625" style="284" bestFit="1" customWidth="1"/>
    <col min="19" max="19" width="10.5703125" style="284" bestFit="1" customWidth="1"/>
    <col min="20" max="20" width="7.42578125" style="284" bestFit="1" customWidth="1"/>
    <col min="21" max="21" width="27.28515625" style="284" bestFit="1" customWidth="1"/>
    <col min="22" max="22" width="10.5703125" style="284" bestFit="1" customWidth="1"/>
    <col min="23" max="23" width="7.42578125" style="284" bestFit="1" customWidth="1"/>
    <col min="24" max="24" width="27.28515625" style="284" bestFit="1" customWidth="1"/>
    <col min="25" max="25" width="10.5703125" style="284" bestFit="1" customWidth="1"/>
    <col min="26" max="26" width="7.42578125" style="284" bestFit="1" customWidth="1"/>
    <col min="27" max="27" width="27.28515625" style="284" bestFit="1" customWidth="1"/>
    <col min="28" max="28" width="10.5703125" style="284" bestFit="1" customWidth="1"/>
    <col min="29" max="29" width="7.42578125" style="284" bestFit="1" customWidth="1"/>
    <col min="30" max="30" width="21.28515625" style="284" bestFit="1" customWidth="1"/>
    <col min="31" max="31" width="2.42578125" style="284" bestFit="1" customWidth="1"/>
    <col min="32" max="32" width="7.42578125" style="284" bestFit="1" customWidth="1"/>
    <col min="33" max="38" width="33.28515625" style="284" bestFit="1" customWidth="1"/>
    <col min="39" max="39" width="27.5703125" style="284" bestFit="1" customWidth="1"/>
    <col min="40" max="40" width="2.140625" style="284" bestFit="1" customWidth="1"/>
    <col min="41" max="41" width="7.5703125" style="284" bestFit="1" customWidth="1"/>
    <col min="42" max="48" width="31.28515625" style="284" bestFit="1" customWidth="1"/>
    <col min="49" max="49" width="25.85546875" style="284" bestFit="1" customWidth="1"/>
    <col min="50" max="93" width="24.28515625" style="284" bestFit="1" customWidth="1"/>
    <col min="94" max="97" width="29.7109375" style="284" bestFit="1" customWidth="1"/>
    <col min="98" max="16384" width="9.28515625" style="284"/>
  </cols>
  <sheetData>
    <row r="1" spans="1:91" ht="18.75" x14ac:dyDescent="0.2">
      <c r="A1" s="321" t="s">
        <v>366</v>
      </c>
    </row>
    <row r="3" spans="1:91" x14ac:dyDescent="0.2">
      <c r="A3" s="301" t="s">
        <v>365</v>
      </c>
    </row>
    <row r="4" spans="1:91" s="316" customFormat="1" ht="30" x14ac:dyDescent="0.2">
      <c r="A4" s="320" t="s">
        <v>4</v>
      </c>
      <c r="B4" s="319" t="s">
        <v>5</v>
      </c>
      <c r="C4" s="318" t="s">
        <v>7</v>
      </c>
      <c r="D4" s="318" t="s">
        <v>136</v>
      </c>
      <c r="E4" s="317" t="s">
        <v>364</v>
      </c>
      <c r="F4" s="317" t="s">
        <v>363</v>
      </c>
      <c r="G4" s="317" t="s">
        <v>362</v>
      </c>
      <c r="H4" s="317" t="s">
        <v>361</v>
      </c>
    </row>
    <row r="5" spans="1:91" ht="30" x14ac:dyDescent="0.2">
      <c r="A5" s="313" t="s">
        <v>100</v>
      </c>
      <c r="B5" s="312" t="s">
        <v>58</v>
      </c>
      <c r="C5" s="311" t="s">
        <v>101</v>
      </c>
      <c r="D5" s="311" t="s">
        <v>139</v>
      </c>
      <c r="E5" s="308">
        <v>559930</v>
      </c>
      <c r="F5" s="308">
        <v>371245</v>
      </c>
      <c r="G5" s="304">
        <v>269045</v>
      </c>
      <c r="H5" s="304">
        <v>196460</v>
      </c>
    </row>
    <row r="6" spans="1:91" ht="30" x14ac:dyDescent="0.2">
      <c r="A6" s="313" t="s">
        <v>100</v>
      </c>
      <c r="B6" s="312" t="s">
        <v>58</v>
      </c>
      <c r="C6" s="311" t="s">
        <v>6</v>
      </c>
      <c r="D6" s="311" t="s">
        <v>139</v>
      </c>
      <c r="E6" s="307"/>
      <c r="F6" s="307"/>
      <c r="G6" s="307">
        <v>64820</v>
      </c>
      <c r="H6" s="304">
        <v>153425</v>
      </c>
    </row>
    <row r="7" spans="1:91" x14ac:dyDescent="0.2">
      <c r="A7" s="313" t="s">
        <v>119</v>
      </c>
      <c r="B7" s="312" t="s">
        <v>118</v>
      </c>
      <c r="C7" s="311" t="s">
        <v>6</v>
      </c>
      <c r="D7" s="311" t="s">
        <v>139</v>
      </c>
      <c r="E7" s="307">
        <v>151110</v>
      </c>
      <c r="F7" s="308">
        <v>139210</v>
      </c>
      <c r="G7" s="307">
        <v>140000</v>
      </c>
      <c r="H7" s="304">
        <v>128610</v>
      </c>
    </row>
    <row r="8" spans="1:91" ht="30" x14ac:dyDescent="0.25">
      <c r="A8" s="313" t="s">
        <v>116</v>
      </c>
      <c r="B8" s="312" t="s">
        <v>115</v>
      </c>
      <c r="C8" s="311" t="s">
        <v>101</v>
      </c>
      <c r="D8" s="311" t="s">
        <v>137</v>
      </c>
      <c r="E8" s="307">
        <v>118</v>
      </c>
      <c r="F8" s="308"/>
      <c r="G8" s="315"/>
      <c r="H8" s="304"/>
      <c r="I8" s="292"/>
      <c r="J8" s="310"/>
      <c r="K8" s="81" t="s">
        <v>143</v>
      </c>
      <c r="L8" t="s">
        <v>359</v>
      </c>
      <c r="M8" t="s">
        <v>358</v>
      </c>
      <c r="N8" t="s">
        <v>357</v>
      </c>
      <c r="O8" t="s">
        <v>367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 s="292"/>
      <c r="AS8" s="292"/>
      <c r="AT8" s="292"/>
      <c r="AU8" s="292"/>
      <c r="AV8" s="292"/>
      <c r="AW8" s="292"/>
      <c r="AX8" s="292"/>
      <c r="AY8" s="292"/>
      <c r="AZ8" s="292"/>
      <c r="BA8" s="292"/>
      <c r="BB8" s="292"/>
      <c r="BC8" s="292"/>
      <c r="BD8" s="292"/>
      <c r="BE8" s="292"/>
      <c r="BF8" s="292"/>
      <c r="BG8" s="292"/>
      <c r="BH8" s="292"/>
      <c r="BI8" s="292"/>
      <c r="BJ8" s="292"/>
      <c r="BK8" s="292"/>
      <c r="BL8" s="292"/>
      <c r="BM8" s="292"/>
      <c r="BN8" s="292"/>
      <c r="BO8" s="292"/>
      <c r="BP8" s="292"/>
      <c r="BQ8" s="292"/>
      <c r="BR8" s="292"/>
      <c r="BS8" s="292"/>
      <c r="BT8" s="292"/>
      <c r="BU8" s="292"/>
      <c r="BV8" s="292"/>
      <c r="BW8" s="292"/>
      <c r="BX8" s="292"/>
      <c r="BY8" s="292"/>
      <c r="BZ8" s="292"/>
      <c r="CA8" s="292"/>
      <c r="CB8" s="292"/>
      <c r="CC8" s="292"/>
      <c r="CD8" s="292"/>
      <c r="CE8" s="292"/>
      <c r="CF8" s="292"/>
      <c r="CG8" s="292"/>
      <c r="CH8" s="292"/>
      <c r="CI8" s="292"/>
      <c r="CJ8" s="292"/>
      <c r="CK8" s="292"/>
      <c r="CL8" s="292"/>
      <c r="CM8" s="292"/>
    </row>
    <row r="9" spans="1:91" x14ac:dyDescent="0.25">
      <c r="A9" s="313" t="s">
        <v>360</v>
      </c>
      <c r="B9" s="312" t="s">
        <v>59</v>
      </c>
      <c r="C9" s="311" t="s">
        <v>6</v>
      </c>
      <c r="D9" s="311" t="s">
        <v>139</v>
      </c>
      <c r="E9" s="307">
        <v>31</v>
      </c>
      <c r="F9" s="308"/>
      <c r="G9" s="307">
        <v>24</v>
      </c>
      <c r="H9" s="304">
        <v>33</v>
      </c>
      <c r="I9" s="292"/>
      <c r="J9" s="310"/>
      <c r="K9" s="82" t="s">
        <v>139</v>
      </c>
      <c r="L9" s="385">
        <v>839018</v>
      </c>
      <c r="M9" s="385">
        <v>626324</v>
      </c>
      <c r="N9" s="385">
        <v>603681</v>
      </c>
      <c r="O9" s="385">
        <v>609441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 s="292"/>
      <c r="AS9" s="292"/>
      <c r="AT9" s="292"/>
      <c r="AU9" s="292"/>
      <c r="AV9" s="292"/>
      <c r="AW9" s="292"/>
      <c r="AX9" s="292"/>
      <c r="AY9" s="292"/>
      <c r="AZ9" s="292"/>
      <c r="BA9" s="292"/>
      <c r="BB9" s="292"/>
      <c r="BC9" s="292"/>
      <c r="BD9" s="292"/>
      <c r="BE9" s="292"/>
      <c r="BF9" s="292"/>
      <c r="BG9" s="292"/>
      <c r="BH9" s="292"/>
      <c r="BI9" s="292"/>
      <c r="BJ9" s="292"/>
      <c r="BK9" s="292"/>
      <c r="BL9" s="292"/>
      <c r="BM9" s="292"/>
      <c r="BN9" s="292"/>
      <c r="BO9" s="292"/>
      <c r="BP9" s="292"/>
      <c r="BQ9" s="292"/>
      <c r="BR9" s="292"/>
      <c r="BS9" s="292"/>
      <c r="BT9" s="292"/>
      <c r="BU9" s="292"/>
      <c r="BV9" s="292"/>
      <c r="BW9" s="292"/>
      <c r="BX9" s="292"/>
      <c r="BY9" s="292"/>
      <c r="BZ9" s="292"/>
      <c r="CA9" s="292"/>
      <c r="CB9" s="292"/>
      <c r="CC9" s="292"/>
      <c r="CD9" s="292"/>
      <c r="CE9" s="292"/>
      <c r="CF9" s="292"/>
      <c r="CG9" s="292"/>
      <c r="CH9" s="292"/>
      <c r="CI9" s="292"/>
      <c r="CJ9" s="292"/>
      <c r="CK9" s="292"/>
      <c r="CL9" s="292"/>
      <c r="CM9" s="292"/>
    </row>
    <row r="10" spans="1:91" x14ac:dyDescent="0.25">
      <c r="A10" s="313" t="s">
        <v>92</v>
      </c>
      <c r="B10" s="312" t="s">
        <v>93</v>
      </c>
      <c r="C10" s="311" t="s">
        <v>6</v>
      </c>
      <c r="D10" s="311" t="s">
        <v>137</v>
      </c>
      <c r="E10" s="307">
        <v>1876</v>
      </c>
      <c r="F10" s="308"/>
      <c r="G10" s="307">
        <v>1538</v>
      </c>
      <c r="H10" s="304">
        <v>937</v>
      </c>
      <c r="I10" s="292"/>
      <c r="J10" s="310"/>
      <c r="K10" s="83" t="s">
        <v>101</v>
      </c>
      <c r="L10" s="385">
        <v>559930</v>
      </c>
      <c r="M10" s="385">
        <v>371245</v>
      </c>
      <c r="N10" s="385">
        <v>269045</v>
      </c>
      <c r="O10" s="385">
        <v>196460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 s="292"/>
      <c r="AS10" s="292"/>
      <c r="AT10" s="292"/>
      <c r="AU10" s="292"/>
      <c r="AV10" s="292"/>
      <c r="AW10" s="292"/>
      <c r="AX10" s="292"/>
      <c r="AY10" s="292"/>
      <c r="AZ10" s="292"/>
      <c r="BA10" s="292"/>
      <c r="BB10" s="292"/>
      <c r="BC10" s="292"/>
      <c r="BD10" s="292"/>
      <c r="BE10" s="292"/>
      <c r="BF10" s="292"/>
      <c r="BG10" s="292"/>
      <c r="BH10" s="292"/>
      <c r="BI10" s="292"/>
      <c r="BJ10" s="292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  <c r="BU10" s="292"/>
      <c r="BV10" s="292"/>
      <c r="BW10" s="292"/>
      <c r="BX10" s="292"/>
      <c r="BY10" s="292"/>
      <c r="BZ10" s="292"/>
      <c r="CA10" s="292"/>
      <c r="CB10" s="292"/>
      <c r="CC10" s="292"/>
      <c r="CD10" s="292"/>
      <c r="CE10" s="292"/>
      <c r="CF10" s="292"/>
      <c r="CG10" s="292"/>
      <c r="CH10" s="292"/>
      <c r="CI10" s="292"/>
      <c r="CJ10" s="292"/>
      <c r="CK10" s="292"/>
      <c r="CL10" s="292"/>
      <c r="CM10" s="292"/>
    </row>
    <row r="11" spans="1:91" x14ac:dyDescent="0.25">
      <c r="A11" s="313" t="s">
        <v>122</v>
      </c>
      <c r="B11" s="312" t="s">
        <v>123</v>
      </c>
      <c r="C11" s="311" t="s">
        <v>6</v>
      </c>
      <c r="D11" s="311" t="s">
        <v>137</v>
      </c>
      <c r="E11" s="307"/>
      <c r="F11" s="308"/>
      <c r="G11" s="307"/>
      <c r="H11" s="304"/>
      <c r="I11" s="292"/>
      <c r="K11" s="83" t="s">
        <v>6</v>
      </c>
      <c r="L11" s="385">
        <v>279088</v>
      </c>
      <c r="M11" s="385">
        <v>255079</v>
      </c>
      <c r="N11" s="385">
        <v>334636</v>
      </c>
      <c r="O11" s="385">
        <v>412579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 s="292"/>
      <c r="AS11" s="292"/>
      <c r="AT11" s="292"/>
      <c r="AU11" s="292"/>
      <c r="AV11" s="292"/>
      <c r="AW11" s="292"/>
      <c r="AX11" s="292"/>
      <c r="AY11" s="292"/>
      <c r="AZ11" s="292"/>
      <c r="BA11" s="292"/>
      <c r="BB11" s="292"/>
      <c r="BC11" s="292"/>
      <c r="BD11" s="292"/>
      <c r="BE11" s="292"/>
      <c r="BF11" s="292"/>
      <c r="BG11" s="292"/>
      <c r="BH11" s="292"/>
      <c r="BI11" s="292"/>
      <c r="BJ11" s="292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  <c r="BU11" s="292"/>
      <c r="BV11" s="292"/>
      <c r="BW11" s="292"/>
      <c r="BX11" s="292"/>
      <c r="BY11" s="292"/>
      <c r="BZ11" s="292"/>
      <c r="CA11" s="292"/>
      <c r="CB11" s="292"/>
      <c r="CC11" s="292"/>
      <c r="CD11" s="292"/>
      <c r="CE11" s="292"/>
      <c r="CF11" s="292"/>
      <c r="CG11" s="292"/>
      <c r="CH11" s="292"/>
      <c r="CI11" s="292"/>
      <c r="CJ11" s="292"/>
      <c r="CK11" s="292"/>
      <c r="CL11" s="292"/>
      <c r="CM11" s="292"/>
    </row>
    <row r="12" spans="1:91" x14ac:dyDescent="0.25">
      <c r="A12" s="313" t="s">
        <v>138</v>
      </c>
      <c r="B12" s="312" t="s">
        <v>94</v>
      </c>
      <c r="C12" s="311" t="s">
        <v>6</v>
      </c>
      <c r="D12" s="311" t="s">
        <v>139</v>
      </c>
      <c r="E12" s="307">
        <v>37410</v>
      </c>
      <c r="F12" s="308">
        <v>31030</v>
      </c>
      <c r="G12" s="307">
        <v>38480</v>
      </c>
      <c r="H12" s="304">
        <v>47930</v>
      </c>
      <c r="I12" s="292"/>
      <c r="J12" s="292"/>
      <c r="K12" s="83" t="s">
        <v>216</v>
      </c>
      <c r="L12" s="385"/>
      <c r="M12" s="385"/>
      <c r="N12" s="385"/>
      <c r="O12" s="385">
        <v>402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</row>
    <row r="13" spans="1:91" x14ac:dyDescent="0.25">
      <c r="A13" s="313" t="s">
        <v>145</v>
      </c>
      <c r="B13" s="312" t="s">
        <v>95</v>
      </c>
      <c r="C13" s="311" t="s">
        <v>6</v>
      </c>
      <c r="D13" s="311" t="s">
        <v>139</v>
      </c>
      <c r="E13" s="307">
        <v>45220</v>
      </c>
      <c r="F13" s="308">
        <v>35830</v>
      </c>
      <c r="G13" s="307">
        <v>37140</v>
      </c>
      <c r="H13" s="304">
        <v>35560</v>
      </c>
      <c r="I13" s="292"/>
      <c r="J13" s="292"/>
      <c r="K13" s="82" t="s">
        <v>137</v>
      </c>
      <c r="L13" s="385">
        <v>4678</v>
      </c>
      <c r="M13" s="385">
        <v>1830</v>
      </c>
      <c r="N13" s="385">
        <v>8629</v>
      </c>
      <c r="O13" s="385">
        <v>4247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</row>
    <row r="14" spans="1:91" x14ac:dyDescent="0.25">
      <c r="A14" s="313" t="s">
        <v>113</v>
      </c>
      <c r="B14" s="312" t="s">
        <v>112</v>
      </c>
      <c r="C14" s="311" t="s">
        <v>6</v>
      </c>
      <c r="D14" s="311" t="s">
        <v>139</v>
      </c>
      <c r="E14" s="314">
        <v>35120</v>
      </c>
      <c r="F14" s="308">
        <v>37120</v>
      </c>
      <c r="G14" s="314">
        <v>37910</v>
      </c>
      <c r="H14" s="304">
        <v>43410</v>
      </c>
      <c r="I14" s="292"/>
      <c r="J14" s="292"/>
      <c r="K14" s="83" t="s">
        <v>101</v>
      </c>
      <c r="L14" s="385">
        <v>2117</v>
      </c>
      <c r="M14" s="385">
        <v>1830</v>
      </c>
      <c r="N14" s="385">
        <v>1999</v>
      </c>
      <c r="O14" s="385">
        <v>2936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</row>
    <row r="15" spans="1:91" ht="45" x14ac:dyDescent="0.25">
      <c r="A15" s="313" t="s">
        <v>149</v>
      </c>
      <c r="B15" s="312" t="s">
        <v>111</v>
      </c>
      <c r="C15" s="311" t="s">
        <v>6</v>
      </c>
      <c r="D15" s="311" t="s">
        <v>137</v>
      </c>
      <c r="E15" s="314">
        <v>458</v>
      </c>
      <c r="F15" s="308"/>
      <c r="G15" s="314">
        <v>191</v>
      </c>
      <c r="H15" s="304">
        <v>182</v>
      </c>
      <c r="I15" s="292"/>
      <c r="J15" s="292"/>
      <c r="K15" s="83" t="s">
        <v>6</v>
      </c>
      <c r="L15" s="385">
        <v>2561</v>
      </c>
      <c r="M15" s="385"/>
      <c r="N15" s="385">
        <v>6630</v>
      </c>
      <c r="O15" s="385">
        <v>1311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</row>
    <row r="16" spans="1:91" ht="45" x14ac:dyDescent="0.25">
      <c r="A16" s="313" t="s">
        <v>149</v>
      </c>
      <c r="B16" s="312" t="s">
        <v>111</v>
      </c>
      <c r="C16" s="311" t="s">
        <v>101</v>
      </c>
      <c r="D16" s="311" t="s">
        <v>137</v>
      </c>
      <c r="E16" s="307"/>
      <c r="F16" s="308"/>
      <c r="G16" s="307">
        <v>0</v>
      </c>
      <c r="H16" s="304"/>
      <c r="I16" s="292"/>
      <c r="J16" s="292"/>
      <c r="K16" s="82" t="s">
        <v>216</v>
      </c>
      <c r="L16" s="385"/>
      <c r="M16" s="385"/>
      <c r="N16" s="385">
        <v>0</v>
      </c>
      <c r="O16" s="385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</row>
    <row r="17" spans="1:91" x14ac:dyDescent="0.25">
      <c r="A17" s="313" t="s">
        <v>200</v>
      </c>
      <c r="B17" s="312" t="s">
        <v>356</v>
      </c>
      <c r="C17" s="311" t="s">
        <v>6</v>
      </c>
      <c r="D17" s="311" t="s">
        <v>137</v>
      </c>
      <c r="E17" s="307"/>
      <c r="F17" s="307"/>
      <c r="G17" s="307">
        <v>4760</v>
      </c>
      <c r="H17" s="304"/>
      <c r="I17" s="292"/>
      <c r="J17" s="292"/>
      <c r="K17" s="83" t="s">
        <v>216</v>
      </c>
      <c r="L17" s="385"/>
      <c r="M17" s="385"/>
      <c r="N17" s="385">
        <v>0</v>
      </c>
      <c r="O17" s="385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</row>
    <row r="18" spans="1:91" x14ac:dyDescent="0.25">
      <c r="A18" s="313" t="s">
        <v>151</v>
      </c>
      <c r="B18" s="312" t="s">
        <v>355</v>
      </c>
      <c r="C18" s="311" t="s">
        <v>6</v>
      </c>
      <c r="D18" s="311" t="s">
        <v>137</v>
      </c>
      <c r="E18" s="307">
        <v>80</v>
      </c>
      <c r="F18" s="308"/>
      <c r="G18" s="307">
        <v>34</v>
      </c>
      <c r="H18" s="304">
        <v>57</v>
      </c>
      <c r="I18" s="292"/>
      <c r="J18" s="292"/>
      <c r="K18" s="82" t="s">
        <v>144</v>
      </c>
      <c r="L18" s="385">
        <v>843696</v>
      </c>
      <c r="M18" s="385">
        <v>628154</v>
      </c>
      <c r="N18" s="385">
        <v>612310</v>
      </c>
      <c r="O18" s="385">
        <v>613688</v>
      </c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</row>
    <row r="19" spans="1:91" x14ac:dyDescent="0.25">
      <c r="A19" s="313" t="s">
        <v>151</v>
      </c>
      <c r="B19" s="312" t="s">
        <v>355</v>
      </c>
      <c r="C19" s="311" t="s">
        <v>101</v>
      </c>
      <c r="D19" s="311" t="s">
        <v>137</v>
      </c>
      <c r="E19" s="307"/>
      <c r="F19" s="308"/>
      <c r="G19" s="307">
        <v>0</v>
      </c>
      <c r="H19" s="304"/>
      <c r="I19" s="292"/>
      <c r="J19" s="292"/>
      <c r="K19"/>
      <c r="L19"/>
      <c r="M19"/>
      <c r="N19"/>
      <c r="O19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</row>
    <row r="20" spans="1:91" ht="30" x14ac:dyDescent="0.25">
      <c r="A20" s="313" t="s">
        <v>117</v>
      </c>
      <c r="B20" s="312" t="s">
        <v>126</v>
      </c>
      <c r="C20" s="311" t="s">
        <v>6</v>
      </c>
      <c r="D20" s="311" t="s">
        <v>137</v>
      </c>
      <c r="E20" s="307">
        <v>51</v>
      </c>
      <c r="F20" s="308"/>
      <c r="G20" s="307">
        <v>23</v>
      </c>
      <c r="H20" s="304">
        <v>55</v>
      </c>
      <c r="I20" s="292"/>
      <c r="J20" s="292"/>
      <c r="K20"/>
      <c r="L20"/>
      <c r="M20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U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</row>
    <row r="21" spans="1:91" ht="30" x14ac:dyDescent="0.25">
      <c r="A21" s="327" t="s">
        <v>146</v>
      </c>
      <c r="B21" s="285" t="s">
        <v>96</v>
      </c>
      <c r="C21" s="311" t="s">
        <v>6</v>
      </c>
      <c r="D21" s="311" t="s">
        <v>139</v>
      </c>
      <c r="E21" s="307">
        <v>627</v>
      </c>
      <c r="F21" s="308"/>
      <c r="G21" s="307">
        <v>6592</v>
      </c>
      <c r="H21" s="304">
        <v>471</v>
      </c>
      <c r="I21" s="292"/>
      <c r="J21" s="292"/>
      <c r="K21"/>
      <c r="L21"/>
      <c r="M21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</row>
    <row r="22" spans="1:91" x14ac:dyDescent="0.25">
      <c r="A22" s="309" t="s">
        <v>354</v>
      </c>
      <c r="B22" s="306" t="s">
        <v>353</v>
      </c>
      <c r="C22" s="311" t="s">
        <v>101</v>
      </c>
      <c r="D22" s="311" t="s">
        <v>137</v>
      </c>
      <c r="E22" s="307">
        <v>318</v>
      </c>
      <c r="F22" s="308"/>
      <c r="G22" s="307">
        <v>0</v>
      </c>
      <c r="H22" s="304"/>
      <c r="I22" s="292"/>
      <c r="J22" s="292"/>
      <c r="K22"/>
      <c r="L22"/>
      <c r="M2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</row>
    <row r="23" spans="1:91" x14ac:dyDescent="0.25">
      <c r="A23" s="313" t="s">
        <v>148</v>
      </c>
      <c r="B23" s="312" t="s">
        <v>352</v>
      </c>
      <c r="C23" s="311" t="s">
        <v>101</v>
      </c>
      <c r="D23" s="311" t="s">
        <v>137</v>
      </c>
      <c r="E23" s="307">
        <v>1681</v>
      </c>
      <c r="F23" s="308">
        <v>1220</v>
      </c>
      <c r="G23" s="307">
        <v>669</v>
      </c>
      <c r="H23" s="304">
        <v>1926</v>
      </c>
      <c r="I23" s="292"/>
      <c r="J23" s="292"/>
      <c r="K23"/>
      <c r="L23"/>
      <c r="M23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</row>
    <row r="24" spans="1:91" x14ac:dyDescent="0.25">
      <c r="A24" s="313" t="s">
        <v>214</v>
      </c>
      <c r="B24" s="312" t="s">
        <v>351</v>
      </c>
      <c r="C24" s="311"/>
      <c r="D24" s="311" t="s">
        <v>139</v>
      </c>
      <c r="E24" s="307"/>
      <c r="F24" s="307"/>
      <c r="G24" s="307"/>
      <c r="H24" s="304">
        <v>402</v>
      </c>
      <c r="I24" s="292"/>
      <c r="J24" s="292"/>
      <c r="K24"/>
      <c r="L24"/>
      <c r="M24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</row>
    <row r="25" spans="1:91" x14ac:dyDescent="0.25">
      <c r="A25" s="313" t="s">
        <v>201</v>
      </c>
      <c r="B25" s="312" t="s">
        <v>350</v>
      </c>
      <c r="C25" s="311" t="s">
        <v>6</v>
      </c>
      <c r="D25" s="311" t="s">
        <v>139</v>
      </c>
      <c r="E25" s="307"/>
      <c r="F25" s="307"/>
      <c r="G25" s="307">
        <v>1000</v>
      </c>
      <c r="H25" s="304"/>
      <c r="I25" s="292"/>
      <c r="J25" s="292"/>
      <c r="K25"/>
      <c r="L25"/>
      <c r="M25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</row>
    <row r="26" spans="1:91" ht="30" x14ac:dyDescent="0.25">
      <c r="A26" s="327" t="s">
        <v>153</v>
      </c>
      <c r="B26" s="285" t="s">
        <v>349</v>
      </c>
      <c r="C26" s="311" t="s">
        <v>6</v>
      </c>
      <c r="D26" s="311" t="s">
        <v>137</v>
      </c>
      <c r="E26" s="307">
        <v>9</v>
      </c>
      <c r="F26" s="308"/>
      <c r="G26" s="307">
        <v>0</v>
      </c>
      <c r="H26" s="304">
        <v>46</v>
      </c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</row>
    <row r="27" spans="1:91" x14ac:dyDescent="0.25">
      <c r="A27" s="309" t="s">
        <v>215</v>
      </c>
      <c r="B27" s="306" t="s">
        <v>348</v>
      </c>
      <c r="C27" s="311" t="s">
        <v>6</v>
      </c>
      <c r="D27" s="311" t="s">
        <v>137</v>
      </c>
      <c r="E27" s="307">
        <v>55</v>
      </c>
      <c r="F27" s="308"/>
      <c r="G27" s="307">
        <v>0</v>
      </c>
      <c r="H27" s="304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</row>
    <row r="28" spans="1:91" x14ac:dyDescent="0.25">
      <c r="A28" s="309" t="s">
        <v>202</v>
      </c>
      <c r="B28" s="306" t="s">
        <v>347</v>
      </c>
      <c r="C28" s="311" t="s">
        <v>6</v>
      </c>
      <c r="D28" s="311" t="s">
        <v>137</v>
      </c>
      <c r="E28" s="307"/>
      <c r="F28" s="307"/>
      <c r="G28" s="307">
        <v>41</v>
      </c>
      <c r="H28" s="304">
        <v>19</v>
      </c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</row>
    <row r="29" spans="1:91" x14ac:dyDescent="0.25">
      <c r="A29" s="309" t="s">
        <v>154</v>
      </c>
      <c r="B29" s="306" t="s">
        <v>346</v>
      </c>
      <c r="C29" s="311" t="s">
        <v>6</v>
      </c>
      <c r="D29" s="311" t="s">
        <v>139</v>
      </c>
      <c r="E29" s="307"/>
      <c r="F29" s="308"/>
      <c r="G29" s="307">
        <v>0</v>
      </c>
      <c r="H29" s="304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</row>
    <row r="30" spans="1:91" x14ac:dyDescent="0.25">
      <c r="A30" s="313" t="s">
        <v>155</v>
      </c>
      <c r="B30" s="312" t="s">
        <v>114</v>
      </c>
      <c r="C30" s="311" t="s">
        <v>6</v>
      </c>
      <c r="D30" s="311" t="s">
        <v>137</v>
      </c>
      <c r="E30" s="307"/>
      <c r="F30" s="308"/>
      <c r="G30" s="307">
        <v>0</v>
      </c>
      <c r="H30" s="304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</row>
    <row r="31" spans="1:91" x14ac:dyDescent="0.25">
      <c r="A31" s="313" t="s">
        <v>203</v>
      </c>
      <c r="B31" s="312" t="s">
        <v>345</v>
      </c>
      <c r="C31" s="311" t="s">
        <v>6</v>
      </c>
      <c r="D31" s="311" t="s">
        <v>139</v>
      </c>
      <c r="E31" s="307"/>
      <c r="F31" s="307"/>
      <c r="G31" s="307">
        <v>1190</v>
      </c>
      <c r="H31" s="304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</row>
    <row r="32" spans="1:91" x14ac:dyDescent="0.25">
      <c r="A32" s="309" t="s">
        <v>121</v>
      </c>
      <c r="B32" s="306" t="s">
        <v>120</v>
      </c>
      <c r="C32" s="311" t="s">
        <v>6</v>
      </c>
      <c r="D32" s="311" t="s">
        <v>139</v>
      </c>
      <c r="E32" s="307"/>
      <c r="F32" s="308"/>
      <c r="G32" s="307">
        <v>0</v>
      </c>
      <c r="H32" s="304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</row>
    <row r="33" spans="1:23" x14ac:dyDescent="0.25">
      <c r="A33" s="327" t="s">
        <v>97</v>
      </c>
      <c r="B33" s="285" t="s">
        <v>98</v>
      </c>
      <c r="C33" s="311" t="s">
        <v>6</v>
      </c>
      <c r="D33" s="311" t="s">
        <v>139</v>
      </c>
      <c r="E33" s="307">
        <v>9570</v>
      </c>
      <c r="F33" s="308">
        <v>10629</v>
      </c>
      <c r="G33" s="307">
        <v>6340</v>
      </c>
      <c r="H33" s="304">
        <v>2550</v>
      </c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</row>
    <row r="34" spans="1:23" x14ac:dyDescent="0.25">
      <c r="A34" s="309" t="s">
        <v>344</v>
      </c>
      <c r="B34" s="306" t="s">
        <v>343</v>
      </c>
      <c r="C34" s="311" t="s">
        <v>6</v>
      </c>
      <c r="D34" s="311" t="s">
        <v>139</v>
      </c>
      <c r="E34" s="307"/>
      <c r="F34" s="307"/>
      <c r="G34" s="307">
        <v>1140</v>
      </c>
      <c r="H34" s="304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</row>
    <row r="35" spans="1:23" x14ac:dyDescent="0.25">
      <c r="A35" s="309" t="s">
        <v>150</v>
      </c>
      <c r="B35" s="306" t="s">
        <v>342</v>
      </c>
      <c r="C35" s="311" t="s">
        <v>101</v>
      </c>
      <c r="D35" s="311" t="s">
        <v>137</v>
      </c>
      <c r="E35" s="308"/>
      <c r="F35" s="308"/>
      <c r="G35" s="307">
        <v>0</v>
      </c>
      <c r="H35" s="304"/>
      <c r="N35" s="292"/>
      <c r="O35" s="292"/>
      <c r="P35" s="292"/>
    </row>
    <row r="36" spans="1:23" ht="30" x14ac:dyDescent="0.25">
      <c r="A36" s="309" t="s">
        <v>140</v>
      </c>
      <c r="B36" s="306" t="s">
        <v>341</v>
      </c>
      <c r="C36" s="311" t="s">
        <v>101</v>
      </c>
      <c r="D36" s="311" t="s">
        <v>137</v>
      </c>
      <c r="E36" s="307"/>
      <c r="F36" s="308"/>
      <c r="G36" s="307">
        <v>0</v>
      </c>
      <c r="H36" s="304"/>
      <c r="N36" s="292"/>
      <c r="O36" s="292"/>
      <c r="P36" s="292"/>
    </row>
    <row r="37" spans="1:23" ht="30" x14ac:dyDescent="0.25">
      <c r="A37" s="309" t="s">
        <v>156</v>
      </c>
      <c r="B37" s="306" t="s">
        <v>340</v>
      </c>
      <c r="C37" s="311" t="s">
        <v>6</v>
      </c>
      <c r="D37" s="311" t="s">
        <v>139</v>
      </c>
      <c r="E37" s="308"/>
      <c r="F37" s="308"/>
      <c r="G37" s="307">
        <v>0</v>
      </c>
      <c r="H37" s="304"/>
      <c r="N37" s="292"/>
      <c r="O37" s="292"/>
      <c r="P37" s="292"/>
    </row>
    <row r="38" spans="1:23" x14ac:dyDescent="0.25">
      <c r="A38" s="309" t="s">
        <v>147</v>
      </c>
      <c r="B38" s="306" t="s">
        <v>99</v>
      </c>
      <c r="C38" s="311" t="s">
        <v>6</v>
      </c>
      <c r="D38" s="311" t="s">
        <v>137</v>
      </c>
      <c r="E38" s="307">
        <v>32</v>
      </c>
      <c r="F38" s="308"/>
      <c r="G38" s="307">
        <v>43</v>
      </c>
      <c r="H38" s="304">
        <v>15</v>
      </c>
      <c r="N38" s="292"/>
      <c r="O38" s="292"/>
      <c r="P38" s="292"/>
    </row>
    <row r="39" spans="1:23" x14ac:dyDescent="0.25">
      <c r="A39" s="309" t="s">
        <v>147</v>
      </c>
      <c r="B39" s="306" t="s">
        <v>99</v>
      </c>
      <c r="C39" s="311" t="s">
        <v>101</v>
      </c>
      <c r="D39" s="311" t="s">
        <v>137</v>
      </c>
      <c r="E39" s="307"/>
      <c r="F39" s="308"/>
      <c r="G39" s="307">
        <v>0</v>
      </c>
      <c r="H39" s="304"/>
      <c r="N39" s="292"/>
      <c r="O39" s="292"/>
      <c r="P39" s="292"/>
    </row>
    <row r="40" spans="1:23" ht="30" x14ac:dyDescent="0.25">
      <c r="A40" s="309" t="s">
        <v>339</v>
      </c>
      <c r="B40" s="306" t="s">
        <v>338</v>
      </c>
      <c r="C40" s="311" t="s">
        <v>101</v>
      </c>
      <c r="D40" s="311" t="s">
        <v>137</v>
      </c>
      <c r="E40" s="307"/>
      <c r="F40" s="308">
        <v>610</v>
      </c>
      <c r="G40" s="307">
        <v>1330</v>
      </c>
      <c r="H40" s="304">
        <v>1010</v>
      </c>
      <c r="N40" s="292"/>
      <c r="O40" s="292"/>
      <c r="P40" s="292"/>
    </row>
    <row r="41" spans="1:23" x14ac:dyDescent="0.25">
      <c r="A41" s="309" t="s">
        <v>337</v>
      </c>
      <c r="B41" s="306" t="s">
        <v>124</v>
      </c>
      <c r="C41" s="311" t="s">
        <v>6</v>
      </c>
      <c r="D41" s="311" t="s">
        <v>139</v>
      </c>
      <c r="E41" s="307"/>
      <c r="F41" s="308">
        <v>1210</v>
      </c>
      <c r="G41" s="307">
        <v>0</v>
      </c>
      <c r="H41" s="304">
        <v>590</v>
      </c>
      <c r="N41" s="292"/>
      <c r="O41" s="292"/>
      <c r="P41" s="292"/>
    </row>
    <row r="42" spans="1:23" ht="30" x14ac:dyDescent="0.25">
      <c r="A42" s="309" t="s">
        <v>336</v>
      </c>
      <c r="B42" s="306" t="s">
        <v>335</v>
      </c>
      <c r="C42" s="311" t="s">
        <v>6</v>
      </c>
      <c r="D42" s="311" t="s">
        <v>139</v>
      </c>
      <c r="E42" s="307"/>
      <c r="F42" s="308">
        <v>50</v>
      </c>
      <c r="G42" s="307">
        <v>0</v>
      </c>
      <c r="H42" s="304"/>
      <c r="N42" s="292"/>
      <c r="O42" s="292"/>
      <c r="P42" s="292"/>
    </row>
    <row r="43" spans="1:23" x14ac:dyDescent="0.25">
      <c r="A43" s="309"/>
      <c r="B43" s="306"/>
      <c r="C43" s="305"/>
      <c r="D43" s="305"/>
      <c r="E43" s="307"/>
      <c r="F43" s="308"/>
      <c r="G43" s="307">
        <v>0</v>
      </c>
      <c r="H43" s="304"/>
      <c r="N43" s="292"/>
      <c r="O43" s="292"/>
      <c r="P43" s="292"/>
    </row>
    <row r="44" spans="1:23" x14ac:dyDescent="0.25">
      <c r="A44" s="322" t="s">
        <v>11</v>
      </c>
      <c r="B44" s="323"/>
      <c r="C44" s="324"/>
      <c r="D44" s="324"/>
      <c r="E44" s="325">
        <f>SUBTOTAL(109,Tab_Rifiuti[kg smaltiti
2022])</f>
        <v>843696</v>
      </c>
      <c r="F44" s="325">
        <f>SUBTOTAL(109,Tab_Rifiuti[kg smaltiti
2023])</f>
        <v>628154</v>
      </c>
      <c r="G44" s="325">
        <f>SUBTOTAL(109,Tab_Rifiuti[kg smaltiti
2024])</f>
        <v>612310</v>
      </c>
      <c r="H44" s="326">
        <f>SUBTOTAL(109,Tab_Rifiuti[kg smaltiti
2025])</f>
        <v>613688</v>
      </c>
      <c r="N44" s="292"/>
      <c r="O44" s="292"/>
      <c r="P44" s="292"/>
    </row>
    <row r="45" spans="1:23" x14ac:dyDescent="0.25">
      <c r="A45" s="303"/>
      <c r="B45" s="300"/>
      <c r="C45" s="299"/>
      <c r="D45" s="299"/>
      <c r="E45" s="302"/>
      <c r="F45" s="302"/>
      <c r="G45" s="302"/>
      <c r="H45" s="302"/>
      <c r="I45" s="302"/>
      <c r="J45" s="302"/>
      <c r="K45" s="302"/>
      <c r="L45" s="302"/>
      <c r="T45" s="292"/>
      <c r="U45" s="292"/>
      <c r="V45" s="292"/>
    </row>
    <row r="46" spans="1:23" x14ac:dyDescent="0.25">
      <c r="A46" s="301" t="s">
        <v>334</v>
      </c>
      <c r="B46" s="300"/>
      <c r="C46" s="299"/>
      <c r="D46" s="299"/>
      <c r="E46" s="299"/>
      <c r="F46" s="298"/>
      <c r="G46" s="298"/>
      <c r="H46" s="298"/>
      <c r="I46" s="298"/>
      <c r="J46" s="298"/>
      <c r="K46" s="298"/>
      <c r="L46" s="297"/>
      <c r="T46" s="292"/>
      <c r="U46" s="292"/>
      <c r="V46" s="292"/>
    </row>
    <row r="47" spans="1:23" ht="60" x14ac:dyDescent="0.25">
      <c r="A47" s="296" t="s">
        <v>1</v>
      </c>
      <c r="B47" s="295" t="s">
        <v>333</v>
      </c>
      <c r="C47" s="293" t="s">
        <v>8</v>
      </c>
      <c r="D47" s="293" t="s">
        <v>9</v>
      </c>
      <c r="E47" s="293" t="s">
        <v>10</v>
      </c>
      <c r="F47" s="293" t="s">
        <v>141</v>
      </c>
      <c r="G47" s="294" t="s">
        <v>142</v>
      </c>
      <c r="H47" s="293" t="s">
        <v>332</v>
      </c>
      <c r="I47" s="293" t="s">
        <v>119</v>
      </c>
      <c r="J47" s="293" t="s">
        <v>331</v>
      </c>
      <c r="P47" s="292"/>
      <c r="Q47" s="292"/>
      <c r="R47" s="292"/>
    </row>
    <row r="48" spans="1:23" x14ac:dyDescent="0.2">
      <c r="A48" s="291">
        <v>2022</v>
      </c>
      <c r="B48" s="288">
        <f>Tab_Rifiuti[[#Totals],[kg smaltiti
2022]]</f>
        <v>843696</v>
      </c>
      <c r="C48" s="288">
        <f>SUMIF(Tab_Rifiuti[R/D],"=R",Tab_Rifiuti[kg smaltiti
2022])</f>
        <v>281649</v>
      </c>
      <c r="D48" s="288">
        <f>SUMIF(Tab_Rifiuti[R/D],"=D",Tab_Rifiuti[kg smaltiti
2022])</f>
        <v>562047</v>
      </c>
      <c r="E48" s="289">
        <f>Tab_Rifiuti_Anno[[#This Row],[Totale rifiuti avviati a recupero]]/Tab_Rifiuti_Anno[[#This Row],[Totale rifiuti smaltiti]]</f>
        <v>0.33382758718780225</v>
      </c>
      <c r="F48" s="288">
        <f>SUMIF(Tab_Rifiuti[P/NP],"=P",Tab_Rifiuti[kg smaltiti
2022])</f>
        <v>4678</v>
      </c>
      <c r="G48" s="287">
        <f>Tab_Rifiuti_Anno[[#This Row],[Totale rifiuti smaltiti]]-Tab_Rifiuti_Anno[[#This Row],[Totale rifiuti pericolosi]]</f>
        <v>839018</v>
      </c>
      <c r="H48" s="286">
        <f>E5</f>
        <v>559930</v>
      </c>
      <c r="I48" s="286">
        <f>E7</f>
        <v>151110</v>
      </c>
      <c r="J48" s="286">
        <f>Tab_Rifiuti_Anno[[#This Row],[Totale rifiuti smaltiti]]-Tab_Rifiuti_Anno[[#This Row],[Fanghi]]-Tab_Rifiuti_Anno[[#This Row],[Rifiuti da fibre tessili lavorate]]</f>
        <v>132656</v>
      </c>
    </row>
    <row r="49" spans="1:10" x14ac:dyDescent="0.2">
      <c r="A49" s="291">
        <v>2023</v>
      </c>
      <c r="B49" s="288">
        <f>Tab_Rifiuti[[#Totals],[kg smaltiti
2023]]</f>
        <v>628154</v>
      </c>
      <c r="C49" s="288">
        <f>SUMIF(Tab_Rifiuti[R/D],"=R",Tab_Rifiuti[kg smaltiti
2023])</f>
        <v>255079</v>
      </c>
      <c r="D49" s="288">
        <f>SUMIF(Tab_Rifiuti[R/D],"=D",Tab_Rifiuti[kg smaltiti
2023])</f>
        <v>373075</v>
      </c>
      <c r="E49" s="289">
        <f>Tab_Rifiuti_Anno[[#This Row],[Totale rifiuti avviati a recupero]]/Tab_Rifiuti_Anno[[#This Row],[Totale rifiuti smaltiti]]</f>
        <v>0.40607717215841976</v>
      </c>
      <c r="F49" s="288">
        <f>SUMIF(Tab_Rifiuti[P/NP],"=P",Tab_Rifiuti[kg smaltiti
2023])</f>
        <v>1830</v>
      </c>
      <c r="G49" s="287">
        <f>Tab_Rifiuti_Anno[[#This Row],[Totale rifiuti smaltiti]]-Tab_Rifiuti_Anno[[#This Row],[Totale rifiuti pericolosi]]</f>
        <v>626324</v>
      </c>
      <c r="H49" s="286">
        <f>F5</f>
        <v>371245</v>
      </c>
      <c r="I49" s="286">
        <f>F7</f>
        <v>139210</v>
      </c>
      <c r="J49" s="286">
        <f>Tab_Rifiuti_Anno[[#This Row],[Totale rifiuti smaltiti]]-Tab_Rifiuti_Anno[[#This Row],[Fanghi]]-Tab_Rifiuti_Anno[[#This Row],[Rifiuti da fibre tessili lavorate]]</f>
        <v>117699</v>
      </c>
    </row>
    <row r="50" spans="1:10" x14ac:dyDescent="0.2">
      <c r="A50" s="291">
        <v>2024</v>
      </c>
      <c r="B50" s="288">
        <f>Tab_Rifiuti[[#Totals],[kg smaltiti
2024]]</f>
        <v>612310</v>
      </c>
      <c r="C50" s="288">
        <f>SUMIF(Tab_Rifiuti[R/D],"=R",Tab_Rifiuti[kg smaltiti
2024])</f>
        <v>341266</v>
      </c>
      <c r="D50" s="288">
        <f>SUMIF(Tab_Rifiuti[R/D],"=D",Tab_Rifiuti[kg smaltiti
2024])</f>
        <v>271044</v>
      </c>
      <c r="E50" s="289">
        <f>Tab_Rifiuti_Anno[[#This Row],[Totale rifiuti avviati a recupero]]/Tab_Rifiuti_Anno[[#This Row],[Totale rifiuti smaltiti]]</f>
        <v>0.55734186931456287</v>
      </c>
      <c r="F50" s="288">
        <f>SUMIF(Tab_Rifiuti[P/NP],"=P",Tab_Rifiuti[kg smaltiti
2024])</f>
        <v>8629</v>
      </c>
      <c r="G50" s="287">
        <f>Tab_Rifiuti_Anno[[#This Row],[Totale rifiuti smaltiti]]-Tab_Rifiuti_Anno[[#This Row],[Totale rifiuti pericolosi]]</f>
        <v>603681</v>
      </c>
      <c r="H50" s="286">
        <f>G5</f>
        <v>269045</v>
      </c>
      <c r="I50" s="286">
        <f>G7</f>
        <v>140000</v>
      </c>
      <c r="J50" s="286">
        <f>Tab_Rifiuti_Anno[[#This Row],[Totale rifiuti smaltiti]]-Tab_Rifiuti_Anno[[#This Row],[Fanghi]]-Tab_Rifiuti_Anno[[#This Row],[Rifiuti da fibre tessili lavorate]]</f>
        <v>203265</v>
      </c>
    </row>
    <row r="51" spans="1:10" x14ac:dyDescent="0.2">
      <c r="A51" s="290">
        <v>2025</v>
      </c>
      <c r="B51" s="288">
        <f>Tab_Rifiuti[[#Totals],[kg smaltiti
2025]]</f>
        <v>613688</v>
      </c>
      <c r="C51" s="288">
        <f>SUMIF(Tab_Rifiuti[R/D],"=R",Tab_Rifiuti[kg smaltiti
2025])</f>
        <v>413890</v>
      </c>
      <c r="D51" s="288">
        <f>SUMIF(Tab_Rifiuti[R/D],"=D",Tab_Rifiuti[kg smaltiti
2025])</f>
        <v>199396</v>
      </c>
      <c r="E51" s="289">
        <f>Tab_Rifiuti_Anno[[#This Row],[Totale rifiuti avviati a recupero]]/Tab_Rifiuti_Anno[[#This Row],[Totale rifiuti smaltiti]]</f>
        <v>0.67443065531670821</v>
      </c>
      <c r="F51" s="288">
        <f>SUMIF(Tab_Rifiuti[P/NP],"=P",Tab_Rifiuti[kg smaltiti
2025])</f>
        <v>4247</v>
      </c>
      <c r="G51" s="287">
        <f>Tab_Rifiuti_Anno[[#This Row],[Totale rifiuti smaltiti]]-Tab_Rifiuti_Anno[[#This Row],[Totale rifiuti pericolosi]]</f>
        <v>609441</v>
      </c>
      <c r="H51" s="286">
        <f>H5</f>
        <v>196460</v>
      </c>
      <c r="I51" s="286">
        <f>H7</f>
        <v>128610</v>
      </c>
      <c r="J51" s="286">
        <f>Tab_Rifiuti_Anno[[#This Row],[Totale rifiuti smaltiti]]-Tab_Rifiuti_Anno[[#This Row],[Fanghi]]-Tab_Rifiuti_Anno[[#This Row],[Rifiuti da fibre tessili lavorate]]</f>
        <v>288618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20" orientation="portrait" r:id="rId2"/>
  <headerFooter>
    <oddFooter>&amp;L&amp;F&amp;C&amp;A&amp;RPagina &amp;P</oddFooter>
  </headerFooter>
  <rowBreaks count="1" manualBreakCount="1">
    <brk id="53" max="28" man="1"/>
  </rowBreaks>
  <colBreaks count="1" manualBreakCount="1">
    <brk id="19" min="3" max="122" man="1"/>
  </colBreaks>
  <drawing r:id="rId3"/>
  <legacyDrawing r:id="rId4"/>
  <legacyDrawingHF r:id="rId5"/>
  <tableParts count="2"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3</vt:i4>
      </vt:variant>
    </vt:vector>
  </HeadingPairs>
  <TitlesOfParts>
    <vt:vector size="14" baseType="lpstr">
      <vt:lpstr>COPERTINA</vt:lpstr>
      <vt:lpstr>Produzione</vt:lpstr>
      <vt:lpstr>Prodotti chimici</vt:lpstr>
      <vt:lpstr>Approvvigionamento idrico</vt:lpstr>
      <vt:lpstr>Energia Elettrica - Dati</vt:lpstr>
      <vt:lpstr>Energia termica COGE</vt:lpstr>
      <vt:lpstr>Analisi Emissioni</vt:lpstr>
      <vt:lpstr>Analisi Scarichi </vt:lpstr>
      <vt:lpstr>Rifiuti</vt:lpstr>
      <vt:lpstr>VascheSistConten</vt:lpstr>
      <vt:lpstr>Indicatori - Dati</vt:lpstr>
      <vt:lpstr>Rifiuti!Area_stampa</vt:lpstr>
      <vt:lpstr>'Approvvigionamento idrico'!Print_Area</vt:lpstr>
      <vt:lpstr>'Indicatori - Dati'!Print_Area</vt:lpstr>
    </vt:vector>
  </TitlesOfParts>
  <Company>Crab Medicina Ambiente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DComunia</dc:creator>
  <cp:lastModifiedBy>Irene Mistretta</cp:lastModifiedBy>
  <cp:lastPrinted>2017-04-14T12:57:51Z</cp:lastPrinted>
  <dcterms:created xsi:type="dcterms:W3CDTF">2006-09-15T06:46:19Z</dcterms:created>
  <dcterms:modified xsi:type="dcterms:W3CDTF">2026-05-21T08:13:37Z</dcterms:modified>
</cp:coreProperties>
</file>