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CRAB\ID2\F3B066CF-D170-40CA-A03A-CF3270F73F74\0\778000-778999\778269\L\L\"/>
    </mc:Choice>
  </mc:AlternateContent>
  <xr:revisionPtr revIDLastSave="0" documentId="13_ncr:1_{E62C4926-9439-4316-B824-611FF850DA8F}" xr6:coauthVersionLast="47" xr6:coauthVersionMax="47" xr10:uidLastSave="{00000000-0000-0000-0000-000000000000}"/>
  <bookViews>
    <workbookView xWindow="22932" yWindow="-108" windowWidth="23256" windowHeight="12456" tabRatio="724" firstSheet="3" activeTab="4" xr2:uid="{00000000-000D-0000-FFFF-FFFF00000000}"/>
  </bookViews>
  <sheets>
    <sheet name="Prodotti chimici" sheetId="19" r:id="rId1"/>
    <sheet name="Energia Elettrica" sheetId="16" r:id="rId2"/>
    <sheet name="Scarico Idrico" sheetId="7" r:id="rId3"/>
    <sheet name="Analisi H2O - IN Dep." sheetId="25" r:id="rId4"/>
    <sheet name="Analisi H2O - OUT dep 4" sheetId="37" r:id="rId5"/>
    <sheet name="Analisi H2O - IN Cervinia 3" sheetId="36" r:id="rId6"/>
    <sheet name="Analisi H2O - IN Lanificio 2" sheetId="35" r:id="rId7"/>
    <sheet name="Analisi H2O - IN Filat 1" sheetId="34" r:id="rId8"/>
    <sheet name="Rifiuti" sheetId="29" r:id="rId9"/>
    <sheet name="Indicatori" sheetId="33" r:id="rId10"/>
  </sheets>
  <definedNames>
    <definedName name="Print_Area" localSheetId="1">'Energia Elettrica'!#REF!</definedName>
    <definedName name="Print_Area" localSheetId="9">Indicatori!$A$2:$C$9</definedName>
  </definedNames>
  <calcPr calcId="191029"/>
</workbook>
</file>

<file path=xl/calcChain.xml><?xml version="1.0" encoding="utf-8"?>
<calcChain xmlns="http://schemas.openxmlformats.org/spreadsheetml/2006/main">
  <c r="F6" i="33" l="1"/>
  <c r="F7" i="33" s="1"/>
  <c r="F3" i="33"/>
  <c r="D34" i="7"/>
  <c r="D15" i="7"/>
  <c r="V30" i="37"/>
  <c r="V29" i="37"/>
  <c r="X30" i="37"/>
  <c r="X29" i="37"/>
  <c r="R30" i="37"/>
  <c r="R28" i="37"/>
  <c r="E6" i="33" l="1"/>
  <c r="E7" i="33" s="1"/>
  <c r="E3" i="33"/>
  <c r="D6" i="33" l="1"/>
  <c r="D7" i="33" s="1"/>
  <c r="C8" i="19"/>
  <c r="E4" i="33" s="1"/>
  <c r="E5" i="33" s="1"/>
  <c r="D8" i="19"/>
  <c r="F4" i="33" s="1"/>
  <c r="F5" i="33" s="1"/>
  <c r="E8" i="19"/>
  <c r="F8" i="19"/>
  <c r="G8" i="19"/>
  <c r="H8" i="19"/>
  <c r="I8" i="19"/>
  <c r="B8" i="19"/>
  <c r="D4" i="33" s="1"/>
  <c r="D5" i="33" s="1"/>
  <c r="B17" i="16"/>
  <c r="D8" i="33" s="1"/>
  <c r="D9" i="33" s="1"/>
  <c r="I17" i="16"/>
  <c r="H17" i="16"/>
  <c r="G17" i="16"/>
  <c r="F17" i="16"/>
  <c r="E17" i="16"/>
  <c r="D17" i="16"/>
  <c r="F8" i="33" s="1"/>
  <c r="F9" i="33" s="1"/>
  <c r="C17" i="16"/>
  <c r="E8" i="33" s="1"/>
  <c r="E9" i="33" s="1"/>
  <c r="I91" i="7"/>
  <c r="H91" i="7"/>
  <c r="G91" i="7"/>
  <c r="F91" i="7"/>
  <c r="E91" i="7"/>
  <c r="D91" i="7"/>
  <c r="C91" i="7"/>
  <c r="B91" i="7"/>
  <c r="I72" i="7"/>
  <c r="H72" i="7"/>
  <c r="G72" i="7"/>
  <c r="F72" i="7"/>
  <c r="E72" i="7"/>
  <c r="I53" i="7"/>
  <c r="H53" i="7"/>
  <c r="G53" i="7"/>
  <c r="F53" i="7"/>
  <c r="E53" i="7"/>
  <c r="D53" i="7"/>
  <c r="C53" i="7"/>
  <c r="B53" i="7"/>
  <c r="I34" i="7"/>
  <c r="H34" i="7"/>
  <c r="G34" i="7"/>
  <c r="F34" i="7"/>
  <c r="E34" i="7"/>
  <c r="C34" i="7"/>
  <c r="B34" i="7"/>
  <c r="C15" i="7"/>
  <c r="E15" i="7"/>
  <c r="F15" i="7"/>
  <c r="G15" i="7"/>
  <c r="H15" i="7"/>
  <c r="I15" i="7"/>
  <c r="B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43" authorId="0" shapeId="0" xr:uid="{11A0DED3-5280-4709-A61A-2CDF3A03F4C2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42" authorId="0" shapeId="0" xr:uid="{A41BF27B-A096-49FC-B168-941C78307D6B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37" authorId="0" shapeId="0" xr:uid="{487316D7-4ACD-44B1-AD6D-F0A6FECBE1CC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37" authorId="0" shapeId="0" xr:uid="{9EB44DED-A6D3-4741-9D99-7F0ABD2B8832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Comunian</author>
  </authors>
  <commentList>
    <comment ref="A37" authorId="0" shapeId="0" xr:uid="{2FF2C8CD-4EA8-438D-8F8A-22E4DC44C166}">
      <text>
        <r>
          <rPr>
            <sz val="9"/>
            <color indexed="81"/>
            <rFont val="Tahoma"/>
            <family val="2"/>
          </rPr>
          <t>Aggiungere eventuali altre righe sopra a questa per la compilazione automatica dei grafici</t>
        </r>
      </text>
    </comment>
  </commentList>
</comments>
</file>

<file path=xl/sharedStrings.xml><?xml version="1.0" encoding="utf-8"?>
<sst xmlns="http://schemas.openxmlformats.org/spreadsheetml/2006/main" count="605" uniqueCount="201">
  <si>
    <t>kg/anno</t>
  </si>
  <si>
    <t>Anno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</si>
  <si>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</si>
  <si>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</si>
  <si>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</si>
  <si>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</si>
  <si>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</si>
  <si>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</si>
  <si>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</si>
  <si>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</si>
  <si>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</si>
  <si>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</si>
  <si>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</si>
  <si>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</si>
  <si>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</si>
  <si>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Descrizione rifiuto</t>
  </si>
  <si>
    <t>Codice CER</t>
  </si>
  <si>
    <t>Occasionale</t>
  </si>
  <si>
    <t>R</t>
  </si>
  <si>
    <t>R/D</t>
  </si>
  <si>
    <t>ENERGIA ELETTRICA</t>
  </si>
  <si>
    <t>RIFIUTI TOTALI</t>
  </si>
  <si>
    <t>kWh</t>
  </si>
  <si>
    <t>Consumo annuo [kg]</t>
  </si>
  <si>
    <t>Data</t>
  </si>
  <si>
    <t>pH</t>
  </si>
  <si>
    <t>COD</t>
  </si>
  <si>
    <t>Azoto ammoniacale</t>
  </si>
  <si>
    <t>Azoto nitrico</t>
  </si>
  <si>
    <t>Azoto nitroso</t>
  </si>
  <si>
    <t>Tens. Totali</t>
  </si>
  <si>
    <t>Cromo VI</t>
  </si>
  <si>
    <t>Nichel</t>
  </si>
  <si>
    <t>Piombo</t>
  </si>
  <si>
    <t>Rame</t>
  </si>
  <si>
    <t>Zinco</t>
  </si>
  <si>
    <t>mg/l</t>
  </si>
  <si>
    <t>mg NH4/l</t>
  </si>
  <si>
    <t>Laboratorio</t>
  </si>
  <si>
    <t>N. rapporto di prova</t>
  </si>
  <si>
    <t>Tens. Anionici 
MBAS</t>
  </si>
  <si>
    <t>Tens. Non ionici 
BIAS</t>
  </si>
  <si>
    <t>Tens. Cationici 
CTMA</t>
  </si>
  <si>
    <t>LIMITI</t>
  </si>
  <si>
    <t>Fosforo totale</t>
  </si>
  <si>
    <t>5,5-9,5</t>
  </si>
  <si>
    <t>Cadmio</t>
  </si>
  <si>
    <t>Cromo Totale</t>
  </si>
  <si>
    <t>Solidi sospesi Tot</t>
  </si>
  <si>
    <t>Prodotto</t>
  </si>
  <si>
    <t>P/NP</t>
  </si>
  <si>
    <t>Fanghi prodotti dal trattamento in loco degli effluenti, diversi da quelli di cui alla voce 04 02 19</t>
  </si>
  <si>
    <t>040220</t>
  </si>
  <si>
    <t>NP</t>
  </si>
  <si>
    <t>-</t>
  </si>
  <si>
    <t>2023</t>
  </si>
  <si>
    <t>2024</t>
  </si>
  <si>
    <t>2025</t>
  </si>
  <si>
    <t>2026</t>
  </si>
  <si>
    <t>2027</t>
  </si>
  <si>
    <t>2028</t>
  </si>
  <si>
    <t>2029</t>
  </si>
  <si>
    <t>2030</t>
  </si>
  <si>
    <t>EK 726 (flocculante)</t>
  </si>
  <si>
    <t>EK DEC (decolorante)</t>
  </si>
  <si>
    <t>Soda Caustica sol.30%</t>
  </si>
  <si>
    <r>
      <t>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</si>
  <si>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Scarico totale in torrente Cervo</t>
  </si>
  <si>
    <t>Ricircolo osmosi</t>
  </si>
  <si>
    <t>Azoto totale</t>
  </si>
  <si>
    <t>Scarico Filatura Tollegno 1900 srl e fognatura CORDAR</t>
  </si>
  <si>
    <t>Scarico Lanificio di Tollegno 1900 srl</t>
  </si>
  <si>
    <t>Scarico filatura Cervinia spa</t>
  </si>
  <si>
    <t>Scarico finale depuratore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</si>
  <si>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</si>
  <si>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</si>
  <si>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</si>
  <si>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</si>
  <si>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</si>
  <si>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</si>
  <si>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</si>
  <si>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</si>
  <si>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</si>
  <si>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</si>
  <si>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</si>
  <si>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</si>
  <si>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kg prodotti 2023</t>
  </si>
  <si>
    <t>kg prodotti 2024</t>
  </si>
  <si>
    <t>kg prodotti 2025</t>
  </si>
  <si>
    <t>kg prodotti 2026</t>
  </si>
  <si>
    <t>kg prodotti 2027</t>
  </si>
  <si>
    <t>kg prodotti 2028</t>
  </si>
  <si>
    <t>Controllo rifiuti prodotti</t>
  </si>
  <si>
    <t>kg/mc</t>
  </si>
  <si>
    <t>Prodotti</t>
  </si>
  <si>
    <t>Indice base fanghi prodotti</t>
  </si>
  <si>
    <t>Indice base energia utilizzata</t>
  </si>
  <si>
    <t>kWh/mc</t>
  </si>
  <si>
    <t>PRODOTTI CHIMICI UTILIZZATI</t>
  </si>
  <si>
    <t>Indicatori di prestazione</t>
  </si>
  <si>
    <t>Valore</t>
  </si>
  <si>
    <t>Consumo prodotti chimici</t>
  </si>
  <si>
    <t>Ingresso depuratore</t>
  </si>
  <si>
    <t>Energia Elettrica depuratore</t>
  </si>
  <si>
    <t>Mese</t>
  </si>
  <si>
    <t xml:space="preserve">Ingresso Filatura Cervinia </t>
  </si>
  <si>
    <t>Ingresso Lanificio di Tollegno</t>
  </si>
  <si>
    <t>Ingresso Filatura Tollegno 1900 e fognatura comunale</t>
  </si>
  <si>
    <t>Ordinario</t>
  </si>
  <si>
    <t>Scarico idrico</t>
  </si>
  <si>
    <t>mc/anno</t>
  </si>
  <si>
    <t xml:space="preserve">Acquistata ed utilizzata </t>
  </si>
  <si>
    <t>472.724</t>
  </si>
  <si>
    <t>COMIE</t>
  </si>
  <si>
    <t>23LA00664</t>
  </si>
  <si>
    <t>23LA05729</t>
  </si>
  <si>
    <t>23LA11755</t>
  </si>
  <si>
    <t>23LA17606</t>
  </si>
  <si>
    <t>23LA22561</t>
  </si>
  <si>
    <t>23LA27428</t>
  </si>
  <si>
    <t>23LA34321</t>
  </si>
  <si>
    <t>23LA44466</t>
  </si>
  <si>
    <t>23LA51275</t>
  </si>
  <si>
    <t>23LA60194</t>
  </si>
  <si>
    <t>23LA68662</t>
  </si>
  <si>
    <t>0,19/</t>
  </si>
  <si>
    <t>23LA33042</t>
  </si>
  <si>
    <t>Mercurio</t>
  </si>
  <si>
    <t>23LA33043</t>
  </si>
  <si>
    <t>23LA33041</t>
  </si>
  <si>
    <t>464.388</t>
  </si>
  <si>
    <t>23LA00665</t>
  </si>
  <si>
    <t>23LA05730</t>
  </si>
  <si>
    <t>23LA11756</t>
  </si>
  <si>
    <t>23LA17607</t>
  </si>
  <si>
    <t>23LA22562</t>
  </si>
  <si>
    <t>23LA27429</t>
  </si>
  <si>
    <t>23LA34322</t>
  </si>
  <si>
    <t>23LA44467</t>
  </si>
  <si>
    <t>23LA51276</t>
  </si>
  <si>
    <t>23LA60195</t>
  </si>
  <si>
    <t>23LA68623</t>
  </si>
  <si>
    <t>24LA71117</t>
  </si>
  <si>
    <t>24LA71115</t>
  </si>
  <si>
    <t>24LA01977</t>
  </si>
  <si>
    <t>24LA01978</t>
  </si>
  <si>
    <t>24LA08885</t>
  </si>
  <si>
    <t>24LA08886</t>
  </si>
  <si>
    <t>24LA16728</t>
  </si>
  <si>
    <t>24LA16729</t>
  </si>
  <si>
    <t>24LA25553</t>
  </si>
  <si>
    <t>24LA25554</t>
  </si>
  <si>
    <t>24LA34476</t>
  </si>
  <si>
    <t>24LA34478</t>
  </si>
  <si>
    <t>24LA44710</t>
  </si>
  <si>
    <t>24LA44713</t>
  </si>
  <si>
    <t>24LA54064</t>
  </si>
  <si>
    <t>24LA54065</t>
  </si>
  <si>
    <t>24LA63878</t>
  </si>
  <si>
    <t>24LA63879</t>
  </si>
  <si>
    <t>24LA67865</t>
  </si>
  <si>
    <t>24LA67866</t>
  </si>
  <si>
    <t>24LA71958</t>
  </si>
  <si>
    <t>24LA71959</t>
  </si>
  <si>
    <t>24LA76193</t>
  </si>
  <si>
    <t>24LA76194</t>
  </si>
  <si>
    <t>24LA80329</t>
  </si>
  <si>
    <t>24LA80330</t>
  </si>
  <si>
    <t>BOD5</t>
  </si>
  <si>
    <t>Colore</t>
  </si>
  <si>
    <t>25LA002674</t>
  </si>
  <si>
    <t>0.02</t>
  </si>
  <si>
    <t>0.005</t>
  </si>
  <si>
    <t>0.05</t>
  </si>
  <si>
    <t>25LA002675</t>
  </si>
  <si>
    <t>25LA011447</t>
  </si>
  <si>
    <t>25LA011448</t>
  </si>
  <si>
    <t>25LA024074</t>
  </si>
  <si>
    <t>25LA024075</t>
  </si>
  <si>
    <t>25LA035780</t>
  </si>
  <si>
    <t>25LA035781</t>
  </si>
  <si>
    <t>25LA048635</t>
  </si>
  <si>
    <t>25LA048636</t>
  </si>
  <si>
    <t>25LA061134</t>
  </si>
  <si>
    <t>25LA061135</t>
  </si>
  <si>
    <t>25LA073532</t>
  </si>
  <si>
    <t>25LA073533</t>
  </si>
  <si>
    <t>25LA087415</t>
  </si>
  <si>
    <t>25LA087416</t>
  </si>
  <si>
    <t>25LA095801</t>
  </si>
  <si>
    <t>25LA095802</t>
  </si>
  <si>
    <t>25LA104030</t>
  </si>
  <si>
    <t>25KLA104031</t>
  </si>
  <si>
    <t>25LA116000</t>
  </si>
  <si>
    <t>25LA116001</t>
  </si>
  <si>
    <t>25LA125649</t>
  </si>
  <si>
    <t>25LA125650</t>
  </si>
  <si>
    <t>25LA095803</t>
  </si>
  <si>
    <t>25LA095804</t>
  </si>
  <si>
    <t>25LA095805</t>
  </si>
  <si>
    <t>447.483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</si>
</sst>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3" applyAlignment="1">
      <alignment horizontal="center" vertical="center"/>
    </xf>
    <xf numFmtId="3" fontId="6" fillId="0" borderId="0" xfId="3" applyNumberFormat="1" applyAlignment="1">
      <alignment horizontal="center" vertical="center"/>
    </xf>
    <xf numFmtId="0" fontId="6" fillId="0" borderId="0" xfId="3" quotePrefix="1" applyAlignment="1">
      <alignment horizontal="center" vertical="center"/>
    </xf>
    <xf numFmtId="3" fontId="14" fillId="0" borderId="0" xfId="4" applyNumberFormat="1" applyFont="1" applyAlignment="1">
      <alignment horizontal="center" vertical="center"/>
    </xf>
    <xf numFmtId="0" fontId="0" fillId="0" borderId="0" xfId="0" applyAlignment="1">
      <alignment horizontal="left"/>
    </xf>
    <xf numFmtId="3" fontId="15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9" fontId="23" fillId="0" borderId="0" xfId="0" applyNumberFormat="1" applyFont="1" applyAlignment="1">
      <alignment horizontal="center" vertical="center"/>
    </xf>
    <xf numFmtId="3" fontId="14" fillId="0" borderId="0" xfId="2" applyNumberFormat="1" applyFont="1" applyBorder="1" applyAlignment="1">
      <alignment horizontal="center" vertical="center"/>
    </xf>
    <xf numFmtId="9" fontId="14" fillId="0" borderId="0" xfId="2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24" fillId="3" borderId="6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 textRotation="90"/>
    </xf>
    <xf numFmtId="0" fontId="24" fillId="3" borderId="10" xfId="0" applyFont="1" applyFill="1" applyBorder="1" applyAlignment="1">
      <alignment horizontal="center" vertical="center" textRotation="90" wrapText="1"/>
    </xf>
    <xf numFmtId="0" fontId="24" fillId="3" borderId="5" xfId="0" applyFont="1" applyFill="1" applyBorder="1" applyAlignment="1">
      <alignment horizontal="center" vertical="center" textRotation="90"/>
    </xf>
    <xf numFmtId="1" fontId="0" fillId="0" borderId="1" xfId="0" applyNumberFormat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14" fontId="19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</cellXfs>
  <cellStyles count="9">
    <cellStyle name="Migliaia 2" xfId="4" xr:uid="{00000000-0005-0000-0000-000001000000}"/>
    <cellStyle name="Normale" xfId="0" builtinId="0"/>
    <cellStyle name="Normale 2" xfId="1" xr:uid="{00000000-0005-0000-0000-000003000000}"/>
    <cellStyle name="Normale 3" xfId="3" xr:uid="{00000000-0005-0000-0000-000004000000}"/>
    <cellStyle name="Normale 4" xfId="5" xr:uid="{00000000-0005-0000-0000-000005000000}"/>
    <cellStyle name="Normale 5" xfId="7" xr:uid="{00000000-0005-0000-0000-000006000000}"/>
    <cellStyle name="Normale 6" xfId="8" xr:uid="{00000000-0005-0000-0000-000007000000}"/>
    <cellStyle name="Percentuale" xfId="2" builtinId="5"/>
    <cellStyle name="Percentuale 2" xfId="6" xr:uid="{00000000-0005-0000-0000-000009000000}"/>
  </cellStyles>
  <dxfs count="2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9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numFmt numFmtId="3" formatCode="#,##0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ella6" displayName="Tabella6" ref="A4:I8" totalsRowCount="1" headerRowDxfId="250" dataDxfId="249">
  <autoFilter ref="A4:I7" xr:uid="{00000000-0009-0000-0100-000006000000}"/>
  <tableColumns count="9">
    <tableColumn id="1" xr3:uid="{00000000-0010-0000-0100-000001000000}" name="Prodotto" totalsRowLabel="Totale" dataDxfId="248" totalsRowDxfId="247"/>
    <tableColumn id="2" xr3:uid="{00000000-0010-0000-0100-000002000000}" name="2023" totalsRowFunction="sum" dataDxfId="246" totalsRowDxfId="245"/>
    <tableColumn id="3" xr3:uid="{00000000-0010-0000-0100-000003000000}" name="2024" totalsRowFunction="sum" dataDxfId="244" totalsRowDxfId="243"/>
    <tableColumn id="4" xr3:uid="{00000000-0010-0000-0100-000004000000}" name="2025" totalsRowFunction="sum" dataDxfId="242" totalsRowDxfId="241"/>
    <tableColumn id="5" xr3:uid="{00000000-0010-0000-0100-000005000000}" name="2026" totalsRowFunction="sum" dataDxfId="240" totalsRowDxfId="239"/>
    <tableColumn id="6" xr3:uid="{00000000-0010-0000-0100-000006000000}" name="2027" totalsRowFunction="sum" dataDxfId="238" totalsRowDxfId="237"/>
    <tableColumn id="7" xr3:uid="{00000000-0010-0000-0100-000007000000}" name="2028" totalsRowFunction="sum" dataDxfId="236" totalsRowDxfId="235"/>
    <tableColumn id="8" xr3:uid="{00000000-0010-0000-0100-000008000000}" name="2029" totalsRowFunction="sum" dataDxfId="234" totalsRowDxfId="233"/>
    <tableColumn id="9" xr3:uid="{00000000-0010-0000-0100-000009000000}" name="2030" totalsRowFunction="sum" dataDxfId="232" totalsRowDxfId="231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7F411C-A567-400E-9D7A-EB27A246C850}" name="Tabella5" displayName="Tabella5" ref="A2:W7" totalsRowShown="0" headerRowDxfId="45" headerRowBorderDxfId="44" tableBorderDxfId="43" totalsRowBorderDxfId="42">
  <autoFilter ref="A2:W7" xr:uid="{717F411C-A567-400E-9D7A-EB27A246C850}"/>
  <tableColumns count="23">
    <tableColumn id="1" xr3:uid="{62CAA85B-58D0-4983-8EB4-6808606F9202}" name="Data" dataDxfId="41"/>
    <tableColumn id="2" xr3:uid="{53620CD1-AB3F-4447-B3D4-79A4F42F4C9A}" name="Laboratorio"/>
    <tableColumn id="3" xr3:uid="{B22CB0B6-F4C5-44F8-916B-843252ECECEB}" name="N. rapporto di prova"/>
    <tableColumn id="4" xr3:uid="{22EF34E6-6787-4A2E-8C2C-9FDAD22883C0}" name="pH" dataDxfId="40"/>
    <tableColumn id="5" xr3:uid="{7092A7AA-62E5-4421-B192-5DF6DFBD908D}" name="Solidi sospesi Tot" dataDxfId="39"/>
    <tableColumn id="6" xr3:uid="{5627136B-EEA2-487D-BA29-5A69140C376E}" name="COD"/>
    <tableColumn id="10" xr3:uid="{6571ADF2-2175-42BF-80B2-4EA6B9EB1466}" name="Azoto totale"/>
    <tableColumn id="7" xr3:uid="{9709F952-C8E1-45A8-9DB7-0ED718926F57}" name="Azoto ammoniacale"/>
    <tableColumn id="8" xr3:uid="{6CC39DA8-1FA0-45C1-9A25-804C809CC0D2}" name="Azoto nitrico"/>
    <tableColumn id="9" xr3:uid="{7197176A-E91A-419A-92E9-3692538A07A8}" name="Azoto nitroso"/>
    <tableColumn id="11" xr3:uid="{7741A5CF-E4D6-4266-9F1F-E70C30F89E64}" name="Fosforo totale"/>
    <tableColumn id="12" xr3:uid="{A0D274E1-D4CB-44C3-BC2C-CCFC42B5F8BA}" name="Tens. Totali"/>
    <tableColumn id="13" xr3:uid="{484F024D-E12A-4532-A31B-453518802EEF}" name="Tens. Anionici _x000a_MBAS"/>
    <tableColumn id="14" xr3:uid="{2EDFCA94-D448-491C-9C5B-BBF55ABC68B4}" name="Tens. Non ionici _x000a_BIAS"/>
    <tableColumn id="15" xr3:uid="{2C41CEF0-96CF-4F5D-BDD7-701C96F76285}" name="Tens. Cationici _x000a_CTMA"/>
    <tableColumn id="16" xr3:uid="{EB88D3BE-50E2-426A-9584-29884AC62AF4}" name="Cromo Totale"/>
    <tableColumn id="17" xr3:uid="{C62C6070-644E-478A-A76D-A58FB1F087FA}" name="Cromo VI"/>
    <tableColumn id="18" xr3:uid="{4BB9DBE9-4402-476D-B37E-F9B2E4694E49}" name="Cadmio"/>
    <tableColumn id="19" xr3:uid="{BC518F6E-7871-4B51-AB82-BD405C5CDD00}" name="Mercurio"/>
    <tableColumn id="20" xr3:uid="{DD8C516B-E938-4D78-972D-11412903674A}" name="Nichel"/>
    <tableColumn id="21" xr3:uid="{99D858F5-1E35-44C5-8236-6C767E4D5C86}" name="Piombo"/>
    <tableColumn id="22" xr3:uid="{236A468F-160A-4FFE-AAE7-23B86E31D231}" name="Rame"/>
    <tableColumn id="23" xr3:uid="{CF24A30E-17E4-430D-9561-C86F8200DB76}" name="Zinco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19C2DD1-9278-4B23-99B2-D2DAF277357F}" name="Tabella11" displayName="Tabella11" ref="A2:W7" totalsRowShown="0" headerRowDxfId="38" headerRowBorderDxfId="37" tableBorderDxfId="36" totalsRowBorderDxfId="35">
  <autoFilter ref="A2:W7" xr:uid="{E19C2DD1-9278-4B23-99B2-D2DAF277357F}"/>
  <tableColumns count="23">
    <tableColumn id="1" xr3:uid="{9A006117-9EB6-40A7-AE3E-64B5ECA7F74C}" name="Data" dataDxfId="34"/>
    <tableColumn id="2" xr3:uid="{9077879A-A7D3-4FC5-8443-1818977AEBA5}" name="Laboratorio"/>
    <tableColumn id="3" xr3:uid="{51225FC4-6E04-4235-908E-AA7EA6CE5B44}" name="N. rapporto di prova"/>
    <tableColumn id="4" xr3:uid="{3B4BC1B6-0E72-46F6-B9B4-FD9B7434494A}" name="pH" dataDxfId="33"/>
    <tableColumn id="5" xr3:uid="{45FFF325-C778-4044-BD30-1FF853E9963A}" name="Solidi sospesi Tot" dataDxfId="32"/>
    <tableColumn id="6" xr3:uid="{0F353295-681C-4E93-85A2-D7ED9C487B49}" name="COD"/>
    <tableColumn id="10" xr3:uid="{2F699D89-7A29-4A87-A985-DD71627459B6}" name="Azoto totale"/>
    <tableColumn id="7" xr3:uid="{CD774AE0-5C44-4816-9B9E-AA00F353B806}" name="Azoto ammoniacale"/>
    <tableColumn id="8" xr3:uid="{D18506D5-259B-4267-B2F0-F307A1CBB690}" name="Azoto nitrico"/>
    <tableColumn id="9" xr3:uid="{5DBF011D-EFEA-45AE-93BC-B38A0334AC22}" name="Azoto nitroso"/>
    <tableColumn id="11" xr3:uid="{9DBEB414-3AA0-4874-820C-7388F594A395}" name="Fosforo totale"/>
    <tableColumn id="12" xr3:uid="{012C1019-4A79-4ADE-964E-E9D6FFF1FF01}" name="Tens. Totali"/>
    <tableColumn id="13" xr3:uid="{5C5FDA0C-4DE4-49E9-9336-4F50BC7DDA04}" name="Tens. Anionici _x000a_MBAS"/>
    <tableColumn id="14" xr3:uid="{38718A8A-8B41-4943-8927-D1A316EC2D63}" name="Tens. Non ionici _x000a_BIAS"/>
    <tableColumn id="15" xr3:uid="{24981CEC-3760-4BA8-A242-582D79427868}" name="Tens. Cationici _x000a_CTMA"/>
    <tableColumn id="16" xr3:uid="{9D2578ED-9E22-4895-87C7-F07A4B8BCEF5}" name="Cromo Totale"/>
    <tableColumn id="17" xr3:uid="{7B86D517-9FD8-48F0-97B3-F69A4AFB5AC0}" name="Cromo VI"/>
    <tableColumn id="18" xr3:uid="{F15FAE00-F744-462E-8121-0AC0135CF155}" name="Cadmio"/>
    <tableColumn id="19" xr3:uid="{7511F06A-28A8-46ED-A2AF-BC401FBCFC04}" name="Mercurio"/>
    <tableColumn id="20" xr3:uid="{CA353F0E-BA69-4E4C-9601-B8BD16F3DD35}" name="Nichel"/>
    <tableColumn id="21" xr3:uid="{BB0C65A0-D7D9-4718-8CF3-4B6AAE098142}" name="Piombo"/>
    <tableColumn id="22" xr3:uid="{5B036FDD-8446-4B56-93EE-06390C549DEE}" name="Rame"/>
    <tableColumn id="23" xr3:uid="{3D69C714-FA1E-48FE-8273-0D20C1FCDC08}" name="Zinco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10B29A2-D537-4ADA-A320-AABC8CCD728C}" name="Tabella12" displayName="Tabella12" ref="A2:W7" totalsRowShown="0" headerRowDxfId="31" headerRowBorderDxfId="30" tableBorderDxfId="29" totalsRowBorderDxfId="28">
  <autoFilter ref="A2:W7" xr:uid="{D10B29A2-D537-4ADA-A320-AABC8CCD728C}"/>
  <tableColumns count="23">
    <tableColumn id="1" xr3:uid="{EE000F69-19A8-4579-B019-C3DD32DD02A7}" name="Data" dataDxfId="27"/>
    <tableColumn id="2" xr3:uid="{B1FB7BFE-5AC3-479A-8CF3-9AB825F196B1}" name="Laboratorio"/>
    <tableColumn id="3" xr3:uid="{BB7437F7-DBBE-48EF-ACF4-234F2E1F952D}" name="N. rapporto di prova"/>
    <tableColumn id="4" xr3:uid="{C546A90E-873E-401D-861B-DF67A9B8C597}" name="pH" dataDxfId="26"/>
    <tableColumn id="5" xr3:uid="{B9BC6133-20F9-47A7-B8AD-4AE4CE4051BC}" name="Solidi sospesi Tot" dataDxfId="25"/>
    <tableColumn id="6" xr3:uid="{10789355-9D1A-4CB3-A2DD-6CDF72A58BBC}" name="COD"/>
    <tableColumn id="10" xr3:uid="{4CA64D60-3D49-47AA-9FB2-3F6C3B4B4C90}" name="Azoto totale"/>
    <tableColumn id="7" xr3:uid="{389A11C5-51BA-4936-B9D5-57D39365DFBF}" name="Azoto ammoniacale"/>
    <tableColumn id="8" xr3:uid="{A468023D-E7B6-4786-B0D8-1F2F9B2101C9}" name="Azoto nitrico"/>
    <tableColumn id="9" xr3:uid="{A0EF4262-CC6C-4FB1-AC3A-0B75C038E844}" name="Azoto nitroso"/>
    <tableColumn id="11" xr3:uid="{AD7372AF-578B-40AE-B3B1-BAE23303EBD8}" name="Fosforo totale"/>
    <tableColumn id="12" xr3:uid="{995F946E-0794-4BC1-8A1D-A2F764C4D0B1}" name="Tens. Totali"/>
    <tableColumn id="13" xr3:uid="{D01C2CA6-AA50-4E64-9B8A-A7C88BB572EC}" name="Tens. Anionici _x000a_MBAS"/>
    <tableColumn id="14" xr3:uid="{337BC439-A5B9-4000-B8E9-2A403C98DD03}" name="Tens. Non ionici _x000a_BIAS"/>
    <tableColumn id="15" xr3:uid="{23D98E6F-12F8-435D-8827-C747E936F27A}" name="Tens. Cationici _x000a_CTMA"/>
    <tableColumn id="16" xr3:uid="{64C9518A-07C9-47AB-A037-6C2C885E51D9}" name="Cromo Totale"/>
    <tableColumn id="17" xr3:uid="{C11888DF-F6F2-45AC-878E-5B7FAD8E4A33}" name="Cromo VI"/>
    <tableColumn id="18" xr3:uid="{E48B89CE-EF9B-41EF-B403-68B92ECD445B}" name="Cadmio"/>
    <tableColumn id="19" xr3:uid="{11B52DA2-EC53-4FB5-99D3-C82E868EFA51}" name="Mercurio"/>
    <tableColumn id="20" xr3:uid="{8D1D61EA-831A-4745-B8FB-2E695943A39F}" name="Nichel"/>
    <tableColumn id="21" xr3:uid="{49D685BA-DA97-4D53-AAFB-362EB38FA1AC}" name="Piombo"/>
    <tableColumn id="22" xr3:uid="{D2D323DC-5630-4D9D-8656-0A56E4F56607}" name="Rame"/>
    <tableColumn id="23" xr3:uid="{4D0624CE-A206-4170-8833-345A640CACDF}" name="Zinco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F000000}" name="Tabella15" displayName="Tabella15" ref="A2:K3" totalsRowShown="0" headerRowDxfId="24" dataDxfId="23" totalsRowDxfId="22">
  <autoFilter ref="A2:K3" xr:uid="{00000000-0009-0000-0100-000002000000}"/>
  <tableColumns count="11">
    <tableColumn id="1" xr3:uid="{00000000-0010-0000-0F00-000001000000}" name="Descrizione rifiuto" dataDxfId="21" totalsRowDxfId="20" dataCellStyle="Normale 3"/>
    <tableColumn id="2" xr3:uid="{00000000-0010-0000-0F00-000002000000}" name="Codice CER" dataDxfId="19" totalsRowDxfId="18" dataCellStyle="Normale 3"/>
    <tableColumn id="3" xr3:uid="{00000000-0010-0000-0F00-000003000000}" name="R/D" dataDxfId="17" totalsRowDxfId="16" dataCellStyle="Normale 3"/>
    <tableColumn id="8" xr3:uid="{00000000-0010-0000-0F00-000008000000}" name="Occasionale" dataDxfId="15" totalsRowDxfId="14" dataCellStyle="Normale 3"/>
    <tableColumn id="9" xr3:uid="{00000000-0010-0000-0F00-000009000000}" name="P/NP" dataDxfId="13" totalsRowDxfId="12" dataCellStyle="Normale 3"/>
    <tableColumn id="4" xr3:uid="{00000000-0010-0000-0F00-000004000000}" name="kg prodotti 2023" dataDxfId="11" totalsRowDxfId="10" dataCellStyle="Normale 3"/>
    <tableColumn id="6" xr3:uid="{00000000-0010-0000-0F00-000006000000}" name="kg prodotti 2024" dataDxfId="9" totalsRowDxfId="8" dataCellStyle="Normale 3"/>
    <tableColumn id="10" xr3:uid="{00000000-0010-0000-0F00-00000A000000}" name="kg prodotti 2025" dataDxfId="7" totalsRowDxfId="6" dataCellStyle="Normale 3"/>
    <tableColumn id="5" xr3:uid="{00000000-0010-0000-0F00-000005000000}" name="kg prodotti 2026" dataDxfId="5" totalsRowDxfId="4" dataCellStyle="Normale 3"/>
    <tableColumn id="7" xr3:uid="{00000000-0010-0000-0F00-000007000000}" name="kg prodotti 2027" dataDxfId="3" totalsRowDxfId="2" dataCellStyle="Normale 3"/>
    <tableColumn id="11" xr3:uid="{A4B60848-1E3B-496E-970A-42B2FECEC7BC}" name="kg prodotti 2028" dataDxfId="1" totalsRowDxfId="0" dataCellStyle="Normale 3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3000000}" name="Tabella317" displayName="Tabella317" ref="B2:H9" totalsRowShown="0" headerRowDxfId="260" dataDxfId="259" tableBorderDxfId="258">
  <autoFilter ref="B2:H9" xr:uid="{00000000-0009-0000-0100-000010000000}"/>
  <tableColumns count="7">
    <tableColumn id="1" xr3:uid="{00000000-0010-0000-1300-000001000000}" name="Valore" dataDxfId="257"/>
    <tableColumn id="2" xr3:uid="{00000000-0010-0000-1300-000002000000}" name="Anno" dataDxfId="256"/>
    <tableColumn id="12" xr3:uid="{00000000-0010-0000-1300-00000C000000}" name="2023" dataDxfId="255"/>
    <tableColumn id="13" xr3:uid="{00000000-0010-0000-1300-00000D000000}" name="2024" dataDxfId="254"/>
    <tableColumn id="14" xr3:uid="{00000000-0010-0000-1300-00000E000000}" name="2025" dataDxfId="253"/>
    <tableColumn id="3" xr3:uid="{C8197D85-E301-40A8-8A05-4824472645C5}" name="2026" dataDxfId="252"/>
    <tableColumn id="4" xr3:uid="{CAE32F8D-AB5F-4CFD-BFE3-7BFE9D811E17}" name="2027" dataDxfId="251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D9A57B5-5DF7-409D-9CFA-311EDD93D405}" name="Tab_En_El_acq" displayName="Tab_En_El_acq" ref="A4:I17" totalsRowCount="1" headerRowDxfId="230" dataDxfId="229">
  <autoFilter ref="A4:I16" xr:uid="{ED9A57B5-5DF7-409D-9CFA-311EDD93D405}"/>
  <tableColumns count="9">
    <tableColumn id="1" xr3:uid="{73629EAC-FAC6-4F39-A944-4D82A4C9F9BC}" name="Mese" totalsRowLabel="Totale" dataDxfId="228" totalsRowDxfId="227"/>
    <tableColumn id="2" xr3:uid="{CD75E13B-F503-41F1-B535-F81D3A9A1B47}" name="2023" totalsRowFunction="sum" dataDxfId="226" totalsRowDxfId="225"/>
    <tableColumn id="3" xr3:uid="{B122F963-314E-4211-922D-24EF62432743}" name="2024" totalsRowFunction="sum" dataDxfId="224" totalsRowDxfId="223"/>
    <tableColumn id="4" xr3:uid="{CFAE8875-0144-483A-BF83-AC38CF639307}" name="2025" totalsRowFunction="sum" dataDxfId="222" totalsRowDxfId="221"/>
    <tableColumn id="5" xr3:uid="{81492239-F039-43BC-B9A6-A25DDE001C66}" name="2026" totalsRowFunction="sum" dataDxfId="220" totalsRowDxfId="219"/>
    <tableColumn id="6" xr3:uid="{152C202E-93AC-4C1D-AB4B-7A20FE242177}" name="2027" totalsRowFunction="sum" dataDxfId="218" totalsRowDxfId="217"/>
    <tableColumn id="7" xr3:uid="{1495994B-8BF1-45BB-9CFE-D335D103DD1B}" name="2028" totalsRowFunction="sum" dataDxfId="216" totalsRowDxfId="215"/>
    <tableColumn id="8" xr3:uid="{2943F42D-906A-4C5C-9423-B50FA2A8317E}" name="2029" totalsRowFunction="sum" dataDxfId="214" totalsRowDxfId="213"/>
    <tableColumn id="9" xr3:uid="{29C30D4D-437F-402F-BAE3-7E1A1461639A}" name="2030" totalsRowFunction="sum" dataDxfId="212" totalsRowDxfId="211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B6427-008B-47E3-B1DD-8EAEA36DBE3B}" name="Tabella1" displayName="Tabella1" ref="A2:I15" totalsRowCount="1" headerRowDxfId="210" dataDxfId="209" totalsRowDxfId="208">
  <autoFilter ref="A2:I14" xr:uid="{017B6427-008B-47E3-B1DD-8EAEA36DBE3B}"/>
  <tableColumns count="9">
    <tableColumn id="1" xr3:uid="{F6991256-331B-40A0-8072-50CB28895F31}" name="[m3]" totalsRowLabel="Totale" dataDxfId="207" totalsRowDxfId="206"/>
    <tableColumn id="2" xr3:uid="{50386E80-7508-4603-8EA4-F9FE060E5E7F}" name="2023" totalsRowFunction="sum" dataDxfId="205" totalsRowDxfId="204"/>
    <tableColumn id="3" xr3:uid="{D3CEF52E-0E7F-4394-A9EE-3A2945F84EB2}" name="2024" totalsRowFunction="sum" dataDxfId="203" totalsRowDxfId="202"/>
    <tableColumn id="4" xr3:uid="{79E13166-A700-454A-BB58-82E832F33072}" name="2025" totalsRowFunction="sum" dataDxfId="201" totalsRowDxfId="200"/>
    <tableColumn id="5" xr3:uid="{8C0FB75A-EA75-4943-BC37-9F2344D7595D}" name="2026" totalsRowFunction="sum" dataDxfId="199" totalsRowDxfId="198"/>
    <tableColumn id="6" xr3:uid="{374F42D6-6D07-41A9-B95D-31F58A249F74}" name="2027" totalsRowFunction="sum" dataDxfId="197" totalsRowDxfId="196"/>
    <tableColumn id="7" xr3:uid="{3E6F1C22-1DE9-451B-8B72-E9D1402F561E}" name="2028" totalsRowFunction="sum" dataDxfId="195" totalsRowDxfId="194"/>
    <tableColumn id="8" xr3:uid="{683AABBB-A993-48E1-9067-04008837ED42}" name="2029" totalsRowFunction="sum" dataDxfId="193" totalsRowDxfId="192"/>
    <tableColumn id="9" xr3:uid="{8E1F6C6E-034C-453A-BDA6-C74DD5B18FCB}" name="2030" totalsRowFunction="sum" dataDxfId="191" totalsRowDxfId="190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51D54BF-E7E2-47B2-A94A-9F9AF31C3996}" name="Tabella18" displayName="Tabella18" ref="A21:I34" totalsRowCount="1" headerRowDxfId="189" dataDxfId="188" totalsRowDxfId="187">
  <autoFilter ref="A21:I33" xr:uid="{A51D54BF-E7E2-47B2-A94A-9F9AF31C3996}"/>
  <tableColumns count="9">
    <tableColumn id="1" xr3:uid="{93293FD8-34C3-4137-BACA-022DB2500538}" name="[m3]" totalsRowLabel="Totale" dataDxfId="186" totalsRowDxfId="185"/>
    <tableColumn id="2" xr3:uid="{04E7BD38-A259-4EE9-8698-0695DC33D930}" name="2023" totalsRowFunction="sum" dataDxfId="184" totalsRowDxfId="183"/>
    <tableColumn id="3" xr3:uid="{C465A4E5-F00C-4F95-85CB-3B185C3D10B6}" name="2024" totalsRowFunction="sum" dataDxfId="182" totalsRowDxfId="181"/>
    <tableColumn id="4" xr3:uid="{4C7F6751-154F-4F61-B19A-C3274DF28FC5}" name="2025" totalsRowFunction="sum" dataDxfId="180" totalsRowDxfId="179"/>
    <tableColumn id="5" xr3:uid="{9AE4539B-213C-467D-83BC-7DC1C78A55CF}" name="2026" totalsRowFunction="sum" dataDxfId="178" totalsRowDxfId="177"/>
    <tableColumn id="6" xr3:uid="{B031E314-3114-4125-A5F1-DC46E66577CB}" name="2027" totalsRowFunction="sum" dataDxfId="176" totalsRowDxfId="175"/>
    <tableColumn id="7" xr3:uid="{0156F1E1-629B-49C9-B723-81B5A295AC29}" name="2028" totalsRowFunction="sum" dataDxfId="174" totalsRowDxfId="173"/>
    <tableColumn id="8" xr3:uid="{A608AD82-DD2A-4C41-84E3-0A007ACE610A}" name="2029" totalsRowFunction="sum" dataDxfId="172" totalsRowDxfId="171"/>
    <tableColumn id="9" xr3:uid="{2C6FB94E-437F-4DF9-8E5D-CB3152E4A470}" name="2030" totalsRowFunction="sum" dataDxfId="170" totalsRowDxfId="169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282B610-BCBB-4A48-B4DF-B3A7E5612131}" name="Tabella189" displayName="Tabella189" ref="A40:I53" totalsRowCount="1" headerRowDxfId="168" dataDxfId="167" totalsRowDxfId="166">
  <autoFilter ref="A40:I52" xr:uid="{0282B610-BCBB-4A48-B4DF-B3A7E5612131}"/>
  <tableColumns count="9">
    <tableColumn id="1" xr3:uid="{E7B62B3C-6997-4E86-ADCF-349E9107FC27}" name="[m3]" totalsRowLabel="Totale" dataDxfId="165" totalsRowDxfId="164"/>
    <tableColumn id="2" xr3:uid="{5D4C0C2B-FF03-4753-A0FF-DE477984F709}" name="2023" totalsRowFunction="sum" dataDxfId="163" totalsRowDxfId="162"/>
    <tableColumn id="3" xr3:uid="{2DF8C428-6672-4FFB-821E-098094225E4D}" name="2024" totalsRowFunction="sum" dataDxfId="161" totalsRowDxfId="160"/>
    <tableColumn id="4" xr3:uid="{A5CE3253-5724-496A-9946-9645015A8743}" name="2025" totalsRowFunction="sum" dataDxfId="159" totalsRowDxfId="158"/>
    <tableColumn id="5" xr3:uid="{170920E3-1D12-4A18-AD9D-ABF165D86D30}" name="2026" totalsRowFunction="sum" dataDxfId="157" totalsRowDxfId="156"/>
    <tableColumn id="6" xr3:uid="{35397DB5-16D7-47C3-B3ED-4C84F1A09C30}" name="2027" totalsRowFunction="sum" dataDxfId="155" totalsRowDxfId="154"/>
    <tableColumn id="7" xr3:uid="{7CCCEAC8-3AEB-43AC-887F-593CE4C76882}" name="2028" totalsRowFunction="sum" dataDxfId="153" totalsRowDxfId="152"/>
    <tableColumn id="8" xr3:uid="{F16B4662-27E2-433B-BE5E-54F583B2F464}" name="2029" totalsRowFunction="sum" dataDxfId="151" totalsRowDxfId="150"/>
    <tableColumn id="9" xr3:uid="{ED486B19-8F6D-421D-9154-C821C47A32D9}" name="2030" totalsRowFunction="sum" dataDxfId="149" totalsRowDxfId="148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B49F8B3-4345-412B-AAB2-E6BE290932F0}" name="Tabella18910" displayName="Tabella18910" ref="A59:I72" totalsRowCount="1" headerRowDxfId="147" dataDxfId="146" totalsRowDxfId="145">
  <autoFilter ref="A59:I71" xr:uid="{5B49F8B3-4345-412B-AAB2-E6BE290932F0}"/>
  <tableColumns count="9">
    <tableColumn id="1" xr3:uid="{52081523-2515-4133-9E21-C32A823D1860}" name="[m3]" totalsRowLabel="Totale" dataDxfId="144" totalsRowDxfId="143"/>
    <tableColumn id="2" xr3:uid="{7820FCD4-2951-4541-9E17-8BE43D620E92}" name="2023" totalsRowLabel="472.724" dataDxfId="142" totalsRowDxfId="141"/>
    <tableColumn id="3" xr3:uid="{A8C382BA-FBE7-4C47-8234-69BDC7469028}" name="2024" totalsRowLabel="464.388" dataDxfId="140" totalsRowDxfId="139"/>
    <tableColumn id="4" xr3:uid="{24668207-A13A-4CC9-BA8F-478310D87505}" name="2025" totalsRowLabel="447.483" dataDxfId="138" totalsRowDxfId="137"/>
    <tableColumn id="5" xr3:uid="{FC976563-1D95-4D28-B655-1C1F7A522FB0}" name="2026" totalsRowFunction="sum" dataDxfId="136" totalsRowDxfId="135"/>
    <tableColumn id="6" xr3:uid="{4CB30B56-8322-465F-A677-E3E37DF38635}" name="2027" totalsRowFunction="sum" dataDxfId="134" totalsRowDxfId="133"/>
    <tableColumn id="7" xr3:uid="{20D3DB1B-397E-43DB-B2F8-755623D57D1D}" name="2028" totalsRowFunction="sum" dataDxfId="132" totalsRowDxfId="131"/>
    <tableColumn id="8" xr3:uid="{D800D1E5-A056-4960-AD03-228282402818}" name="2029" totalsRowFunction="sum" dataDxfId="130" totalsRowDxfId="129"/>
    <tableColumn id="9" xr3:uid="{7AFDBBA7-3698-49DD-B42F-312BF73172F2}" name="2030" totalsRowFunction="sum" dataDxfId="128" totalsRowDxfId="127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6DA460-D3FD-4092-BA41-A5B9DB8CF290}" name="Tabella1891011" displayName="Tabella1891011" ref="A78:I91" totalsRowCount="1" headerRowDxfId="126" dataDxfId="125" totalsRowDxfId="124">
  <autoFilter ref="A78:I90" xr:uid="{DA6DA460-D3FD-4092-BA41-A5B9DB8CF290}"/>
  <tableColumns count="9">
    <tableColumn id="1" xr3:uid="{B99A9CB9-EE27-4013-8BC1-5489E2D867DF}" name="[m3]" totalsRowLabel="Totale" dataDxfId="123" totalsRowDxfId="122"/>
    <tableColumn id="2" xr3:uid="{8C814CA8-DA26-4629-8A9D-659DB3687C76}" name="2023" totalsRowFunction="sum" dataDxfId="121" totalsRowDxfId="120"/>
    <tableColumn id="3" xr3:uid="{5BA4625C-A413-468B-884D-568EB688034D}" name="2024" totalsRowFunction="sum" dataDxfId="119" totalsRowDxfId="118"/>
    <tableColumn id="4" xr3:uid="{5097D652-E2C6-4B27-8517-FCE9EA3BE862}" name="2025" totalsRowFunction="sum" dataDxfId="117" totalsRowDxfId="116"/>
    <tableColumn id="5" xr3:uid="{F44CA4A4-A913-4F10-B21A-AD9623018067}" name="2026" totalsRowFunction="sum" dataDxfId="115" totalsRowDxfId="114"/>
    <tableColumn id="6" xr3:uid="{9C693A27-7250-494F-A4BA-82993E5666ED}" name="2027" totalsRowFunction="sum" dataDxfId="113" totalsRowDxfId="112"/>
    <tableColumn id="7" xr3:uid="{0450E1DA-BEAF-4AC0-8375-B601BF7E0771}" name="2028" totalsRowFunction="sum" dataDxfId="111" totalsRowDxfId="110"/>
    <tableColumn id="8" xr3:uid="{648F9845-8ABA-4DF6-9CCC-5FF98C9381BC}" name="2029" totalsRowFunction="sum" dataDxfId="109" totalsRowDxfId="108"/>
    <tableColumn id="9" xr3:uid="{AAD3B143-1DDC-49A0-AF80-768C3BAA5EDA}" name="2030" totalsRowFunction="sum" dataDxfId="107" totalsRowDxfId="106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8BDAE8-90DA-49F3-B9C8-51F00EE40F5C}" name="Tabella3" displayName="Tabella3" ref="A2:Y27" totalsRowShown="0" headerRowDxfId="105" dataDxfId="103" headerRowBorderDxfId="104" tableBorderDxfId="102" totalsRowBorderDxfId="101">
  <autoFilter ref="A2:Y27" xr:uid="{BE8BDAE8-90DA-49F3-B9C8-51F00EE40F5C}"/>
  <tableColumns count="25">
    <tableColumn id="1" xr3:uid="{3C48F26E-E396-4422-962B-2EEF0F19EB58}" name="Data" dataDxfId="100"/>
    <tableColumn id="2" xr3:uid="{62E46BEF-C6F7-4F7E-9F98-7F1ED2D46905}" name="Laboratorio" dataDxfId="99"/>
    <tableColumn id="3" xr3:uid="{4D51AEC1-0022-4673-A0CE-70AC47CD25B0}" name="N. rapporto di prova" dataDxfId="98"/>
    <tableColumn id="4" xr3:uid="{4BC8944A-215A-4393-B86B-CAD37B384FA9}" name="pH" dataDxfId="97"/>
    <tableColumn id="5" xr3:uid="{341771A9-3613-4189-9066-50139977FB3D}" name="Solidi sospesi Tot" dataDxfId="96"/>
    <tableColumn id="6" xr3:uid="{7EF70E75-E977-4918-A391-0E7A0CEAE03B}" name="COD" dataDxfId="95"/>
    <tableColumn id="23" xr3:uid="{4B0F39B2-5D95-4554-846F-85D15626765C}" name="BOD5" dataDxfId="94"/>
    <tableColumn id="24" xr3:uid="{33C78DC7-B35B-4B5D-B8B6-20921FA5734B}" name="Colore" dataDxfId="93"/>
    <tableColumn id="7" xr3:uid="{3A07365A-AB7A-4206-A963-CFCF2552BA32}" name="Azoto ammoniacale" dataDxfId="92"/>
    <tableColumn id="8" xr3:uid="{93137FEA-E241-49D1-95C9-8E8B84469E17}" name="Azoto nitrico" dataDxfId="91"/>
    <tableColumn id="9" xr3:uid="{B344718C-C7BF-4716-BC3F-8EB8121710B0}" name="Azoto nitroso" dataDxfId="90"/>
    <tableColumn id="10" xr3:uid="{60C8329E-AE8A-42FB-BE14-BC98DE90638E}" name="Azoto totale" dataDxfId="89"/>
    <tableColumn id="11" xr3:uid="{42068E11-DBFD-4C62-B107-3EF9507A6F32}" name="Fosforo totale" dataDxfId="88"/>
    <tableColumn id="12" xr3:uid="{7BD856F6-23C9-442A-8E96-A90CA3EFA8A3}" name="Tens. Totali" dataDxfId="87"/>
    <tableColumn id="13" xr3:uid="{86A77D4B-36AD-4284-8E4F-A0519BA7A785}" name="Tens. Anionici _x000a_MBAS" dataDxfId="86"/>
    <tableColumn id="14" xr3:uid="{8BB6A7F3-1BA5-4EB9-B880-F732D50B4854}" name="Tens. Non ionici _x000a_BIAS" dataDxfId="85"/>
    <tableColumn id="15" xr3:uid="{C267127F-1B16-43C7-93DD-2C6EB9A84866}" name="Tens. Cationici _x000a_CTMA" dataDxfId="84"/>
    <tableColumn id="16" xr3:uid="{04B96B82-2D2A-4CF7-9595-A9844C9EB4F1}" name="Cromo Totale" dataDxfId="83"/>
    <tableColumn id="17" xr3:uid="{4CD69E17-9249-4DC4-B005-59EF6DAC3F6F}" name="Cromo VI" dataDxfId="82"/>
    <tableColumn id="18" xr3:uid="{AC3EAD63-3BCD-4072-BE97-50201C5A2CBD}" name="Cadmio" dataDxfId="81"/>
    <tableColumn id="25" xr3:uid="{AD8814C1-9E30-429F-AEF1-A45A06709870}" name="Mercurio" dataDxfId="80"/>
    <tableColumn id="19" xr3:uid="{1051E133-78F9-4842-A5A6-AEDD389D7EA7}" name="Nichel" dataDxfId="79"/>
    <tableColumn id="20" xr3:uid="{79E1A315-F5F5-4620-9556-02EC90EC09AC}" name="Piombo" dataDxfId="78"/>
    <tableColumn id="21" xr3:uid="{9D26C700-F05C-4499-9127-53A5CD29C777}" name="Rame" dataDxfId="77"/>
    <tableColumn id="22" xr3:uid="{B0B79C88-2EB8-4B88-A096-197EE51A8B5B}" name="Zinco" dataDxfId="76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3C6E30-9C3E-4844-B598-806A638D1AD7}" name="Tabella4" displayName="Tabella4" ref="A2:Y28" totalsRowShown="0" headerRowDxfId="75" dataDxfId="73" headerRowBorderDxfId="74" tableBorderDxfId="72" totalsRowBorderDxfId="71">
  <autoFilter ref="A2:Y28" xr:uid="{2A3C6E30-9C3E-4844-B598-806A638D1AD7}"/>
  <tableColumns count="25">
    <tableColumn id="1" xr3:uid="{4BF9F92A-5DDD-41DA-BCD7-B5A4BAC196E0}" name="Data" dataDxfId="70"/>
    <tableColumn id="2" xr3:uid="{44E8B66A-D2E5-4078-BF88-833425D10123}" name="Laboratorio" dataDxfId="69"/>
    <tableColumn id="3" xr3:uid="{10E41A0B-E233-441E-B3BB-FF560375CF9F}" name="N. rapporto di prova" dataDxfId="68"/>
    <tableColumn id="4" xr3:uid="{6207180C-09D9-44CF-A182-56709B1EFDBD}" name="pH" dataDxfId="67"/>
    <tableColumn id="6" xr3:uid="{C76F93C0-8B41-4FA8-B289-CD6770F08343}" name="COD" dataDxfId="66"/>
    <tableColumn id="23" xr3:uid="{66147048-DCD0-4977-A91E-7DDA2461A937}" name="BOD5" dataDxfId="65"/>
    <tableColumn id="24" xr3:uid="{6DF9C10E-B5DB-4262-9315-37F07838E615}" name="Colore" dataDxfId="64"/>
    <tableColumn id="5" xr3:uid="{C4F46302-0F5A-4583-9EFA-5F7525A36247}" name="Solidi sospesi Tot" dataDxfId="63"/>
    <tableColumn id="7" xr3:uid="{C7400171-CC7C-49F9-A611-7BCE8FB45181}" name="Azoto ammoniacale" dataDxfId="62"/>
    <tableColumn id="8" xr3:uid="{E4336562-A2F1-499A-BCBA-76A3311D02AB}" name="Azoto nitrico" dataDxfId="61"/>
    <tableColumn id="9" xr3:uid="{DB087271-6021-4055-9D9A-3901BD89E30C}" name="Azoto nitroso" dataDxfId="60"/>
    <tableColumn id="10" xr3:uid="{A3BBC2B9-2157-476E-8CDE-583EC9EC5966}" name="Azoto totale" dataDxfId="59"/>
    <tableColumn id="11" xr3:uid="{EDAE9ED5-3355-4F12-B2A7-8767CEE766A3}" name="Fosforo totale" dataDxfId="58"/>
    <tableColumn id="12" xr3:uid="{350C5B24-971E-442D-949C-F12F1E96505C}" name="Tens. Totali" dataDxfId="57"/>
    <tableColumn id="13" xr3:uid="{626364A3-627E-425C-8F5B-26F80CAB6D82}" name="Tens. Anionici _x000a_MBAS" dataDxfId="56"/>
    <tableColumn id="14" xr3:uid="{EF3FEF19-4AB7-4B60-9CA7-EADFECEF7DC3}" name="Tens. Non ionici _x000a_BIAS" dataDxfId="55"/>
    <tableColumn id="15" xr3:uid="{214317C6-F69D-4C75-9442-8D545DB98BD8}" name="Tens. Cationici _x000a_CTMA" dataDxfId="54"/>
    <tableColumn id="16" xr3:uid="{57371AA6-084B-432C-9039-216E3EFCCA61}" name="Cromo Totale" dataDxfId="53"/>
    <tableColumn id="17" xr3:uid="{C15CA495-5050-497F-9F1E-710C26595D78}" name="Cromo VI" dataDxfId="52"/>
    <tableColumn id="18" xr3:uid="{04777145-0731-4B7C-9341-6CFA74E56A88}" name="Cadmio" dataDxfId="51"/>
    <tableColumn id="25" xr3:uid="{FF8A226C-C1FF-44BC-BA07-C383DB602135}" name="Mercurio" dataDxfId="50"/>
    <tableColumn id="19" xr3:uid="{303E65F2-13ED-4367-8567-74CAF2C76938}" name="Nichel" dataDxfId="49"/>
    <tableColumn id="20" xr3:uid="{646A0961-5001-4713-9FA2-AAC232AA2A04}" name="Piombo" dataDxfId="48"/>
    <tableColumn id="21" xr3:uid="{F413B491-483D-415B-BB15-A8E887BD4549}" name="Rame" dataDxfId="47"/>
    <tableColumn id="22" xr3:uid="{A7F47DA0-1FE0-4BE9-99D9-C6D014191A8C}" name="Zinco" dataDxfId="4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zoomScaleNormal="100" workbookViewId="0">
      <selection activeCell="E8" sqref="E8"/>
    </sheetView>
  </sheetViews>
  <sheetFormatPr defaultColWidth="9.140625" defaultRowHeight="12.75" x14ac:dyDescent="0.2"/>
  <cols>
    <col min="1" max="1" width="22.42578125" style="2" customWidth="1"/>
    <col min="2" max="3" width="10.7109375" style="1" customWidth="1"/>
    <col min="4" max="4" width="10.7109375" style="11" customWidth="1"/>
    <col min="5" max="6" width="10.7109375" style="1" customWidth="1"/>
    <col min="7" max="8" width="10.7109375" style="13" customWidth="1"/>
    <col min="9" max="9" width="10.7109375" style="1" customWidth="1"/>
    <col min="10" max="10" width="10.140625" style="1" bestFit="1" customWidth="1"/>
    <col min="11" max="16384" width="9.140625" style="1"/>
  </cols>
  <sheetData>
    <row r="1" spans="1:14" ht="21" customHeight="1" x14ac:dyDescent="0.2">
      <c r="A1" s="81" t="s">
        <v>101</v>
      </c>
      <c r="B1" s="82"/>
      <c r="C1" s="82"/>
      <c r="D1" s="82"/>
      <c r="E1" s="82"/>
      <c r="F1" s="82"/>
      <c r="G1" s="82"/>
      <c r="H1" s="82"/>
      <c r="I1" s="83"/>
      <c r="J1" s="4"/>
      <c r="K1" s="4"/>
      <c r="L1" s="4"/>
      <c r="M1" s="4"/>
      <c r="N1" s="4"/>
    </row>
    <row r="2" spans="1:14" x14ac:dyDescent="0.2">
      <c r="A2" s="21"/>
      <c r="B2" s="21"/>
      <c r="C2" s="21"/>
      <c r="D2" s="22"/>
      <c r="E2" s="21"/>
      <c r="F2" s="21"/>
      <c r="G2" s="23"/>
      <c r="H2" s="23"/>
      <c r="I2" s="21"/>
    </row>
    <row r="3" spans="1:14" x14ac:dyDescent="0.2">
      <c r="A3" s="84" t="s">
        <v>23</v>
      </c>
      <c r="B3" s="85"/>
      <c r="C3" s="85"/>
      <c r="D3" s="85"/>
      <c r="E3" s="85"/>
      <c r="F3" s="85"/>
      <c r="G3" s="85"/>
      <c r="H3" s="85"/>
      <c r="I3" s="86"/>
    </row>
    <row r="4" spans="1:14" x14ac:dyDescent="0.2">
      <c r="A4" s="24" t="s">
        <v>49</v>
      </c>
      <c r="B4" s="24" t="s">
        <v>55</v>
      </c>
      <c r="C4" s="24" t="s">
        <v>56</v>
      </c>
      <c r="D4" s="24" t="s">
        <v>57</v>
      </c>
      <c r="E4" s="24" t="s">
        <v>58</v>
      </c>
      <c r="F4" s="24" t="s">
        <v>59</v>
      </c>
      <c r="G4" s="24" t="s">
        <v>60</v>
      </c>
      <c r="H4" s="24" t="s">
        <v>61</v>
      </c>
      <c r="I4" s="24" t="s">
        <v>62</v>
      </c>
      <c r="J4" s="24"/>
      <c r="K4" s="24"/>
      <c r="L4" s="24"/>
      <c r="M4" s="24"/>
      <c r="N4" s="24"/>
    </row>
    <row r="5" spans="1:14" ht="18.75" customHeight="1" x14ac:dyDescent="0.2">
      <c r="A5" s="26" t="s">
        <v>63</v>
      </c>
      <c r="B5" s="27">
        <v>400</v>
      </c>
      <c r="C5" s="28">
        <v>200</v>
      </c>
      <c r="D5" s="28">
        <v>600</v>
      </c>
      <c r="E5" s="28"/>
      <c r="F5" s="29"/>
      <c r="G5" s="29"/>
      <c r="H5" s="29"/>
      <c r="I5" s="29"/>
      <c r="J5" s="25"/>
      <c r="K5" s="25"/>
      <c r="L5" s="25"/>
      <c r="M5" s="25"/>
      <c r="N5" s="25"/>
    </row>
    <row r="6" spans="1:14" ht="18.75" customHeight="1" x14ac:dyDescent="0.2">
      <c r="A6" s="26" t="s">
        <v>64</v>
      </c>
      <c r="B6" s="27">
        <v>18750</v>
      </c>
      <c r="C6" s="28">
        <v>16250</v>
      </c>
      <c r="D6" s="28">
        <v>16250</v>
      </c>
      <c r="E6" s="28"/>
      <c r="F6" s="29"/>
      <c r="G6" s="29"/>
      <c r="H6" s="29"/>
      <c r="I6" s="29"/>
      <c r="J6" s="25"/>
      <c r="K6" s="25"/>
      <c r="L6" s="25"/>
      <c r="M6" s="25"/>
      <c r="N6" s="25"/>
    </row>
    <row r="7" spans="1:14" ht="18.75" customHeight="1" x14ac:dyDescent="0.2">
      <c r="A7" s="26" t="s">
        <v>65</v>
      </c>
      <c r="B7" s="27">
        <v>10000</v>
      </c>
      <c r="C7" s="28">
        <v>5000</v>
      </c>
      <c r="D7" s="28">
        <v>30000</v>
      </c>
      <c r="E7" s="28"/>
      <c r="F7" s="29"/>
      <c r="G7" s="29"/>
      <c r="H7" s="29"/>
      <c r="I7" s="29"/>
      <c r="J7" s="25"/>
      <c r="K7" s="25"/>
      <c r="L7" s="25"/>
      <c r="M7" s="25"/>
      <c r="N7" s="25"/>
    </row>
    <row r="8" spans="1:14" ht="18.75" customHeight="1" x14ac:dyDescent="0.2">
      <c r="A8" s="26" t="s">
        <v>14</v>
      </c>
      <c r="B8" s="40">
        <f>SUBTOTAL(109,Tabella6[2023])</f>
        <v>29150</v>
      </c>
      <c r="C8" s="40">
        <f>SUBTOTAL(109,Tabella6[2024])</f>
        <v>21450</v>
      </c>
      <c r="D8" s="40">
        <f>SUBTOTAL(109,Tabella6[2025])</f>
        <v>46850</v>
      </c>
      <c r="E8" s="40">
        <f>SUBTOTAL(109,Tabella6[2026])</f>
        <v>0</v>
      </c>
      <c r="F8" s="40">
        <f>SUBTOTAL(109,Tabella6[2027])</f>
        <v>0</v>
      </c>
      <c r="G8" s="40">
        <f>SUBTOTAL(109,Tabella6[2028])</f>
        <v>0</v>
      </c>
      <c r="H8" s="40">
        <f>SUBTOTAL(109,Tabella6[2029])</f>
        <v>0</v>
      </c>
      <c r="I8" s="40">
        <f>SUBTOTAL(109,Tabella6[2030])</f>
        <v>0</v>
      </c>
      <c r="J8" s="25"/>
      <c r="K8" s="25"/>
      <c r="L8" s="25"/>
      <c r="M8" s="25"/>
      <c r="N8" s="25"/>
    </row>
    <row r="10" spans="1:14" x14ac:dyDescent="0.2">
      <c r="A10" s="1"/>
    </row>
  </sheetData>
  <mergeCells count="2">
    <mergeCell ref="A1:I1"/>
    <mergeCell ref="A3:I3"/>
  </mergeCells>
  <phoneticPr fontId="0" type="noConversion"/>
  <pageMargins left="0.75" right="0.75" top="1" bottom="1" header="0.5" footer="0.5"/>
  <pageSetup paperSize="9" scale="89" orientation="portrait" r:id="rId1"/>
  <headerFooter alignWithMargins="0">
    <oddHeader>&amp;C&amp;F</oddHeader>
    <oddFooter>&amp;C&amp;A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zoomScaleNormal="100" workbookViewId="0">
      <selection activeCell="K7" sqref="K7"/>
    </sheetView>
  </sheetViews>
  <sheetFormatPr defaultColWidth="9.140625" defaultRowHeight="12.75" x14ac:dyDescent="0.2"/>
  <cols>
    <col min="1" max="1" width="16.7109375" style="1" customWidth="1"/>
    <col min="2" max="2" width="12.42578125" style="2" customWidth="1"/>
    <col min="3" max="3" width="11.5703125" style="2" bestFit="1" customWidth="1"/>
    <col min="4" max="5" width="10.140625" style="1" bestFit="1" customWidth="1"/>
    <col min="6" max="6" width="10.7109375" style="12" bestFit="1" customWidth="1"/>
    <col min="7" max="7" width="10.140625" style="1" bestFit="1" customWidth="1"/>
    <col min="8" max="16384" width="9.140625" style="1"/>
  </cols>
  <sheetData>
    <row r="1" spans="1:8" ht="23.25" customHeight="1" x14ac:dyDescent="0.2">
      <c r="A1" s="79" t="s">
        <v>99</v>
      </c>
      <c r="B1" s="79"/>
      <c r="C1" s="79"/>
      <c r="D1" s="42"/>
      <c r="E1" s="42"/>
      <c r="F1" s="43"/>
      <c r="G1" s="42"/>
      <c r="H1" s="42"/>
    </row>
    <row r="2" spans="1:8" ht="21" customHeight="1" x14ac:dyDescent="0.2">
      <c r="A2" s="44"/>
      <c r="B2" s="45" t="s">
        <v>100</v>
      </c>
      <c r="C2" s="45" t="s">
        <v>1</v>
      </c>
      <c r="D2" s="45" t="s">
        <v>55</v>
      </c>
      <c r="E2" s="45" t="s">
        <v>56</v>
      </c>
      <c r="F2" s="45" t="s">
        <v>57</v>
      </c>
      <c r="G2" s="45" t="s">
        <v>58</v>
      </c>
      <c r="H2" s="45" t="s">
        <v>59</v>
      </c>
    </row>
    <row r="3" spans="1:8" ht="21" customHeight="1" x14ac:dyDescent="0.2">
      <c r="A3" s="44" t="s">
        <v>109</v>
      </c>
      <c r="B3" s="44" t="s">
        <v>14</v>
      </c>
      <c r="C3" s="46" t="s">
        <v>110</v>
      </c>
      <c r="D3" s="47">
        <v>472724</v>
      </c>
      <c r="E3" s="47" t="str">
        <f>Tabella18910[[#Totals],[2024]]</f>
        <v>464.388</v>
      </c>
      <c r="F3" s="47" t="str">
        <f>Tabella18910[[#Totals],[2025]]</f>
        <v>447.483</v>
      </c>
      <c r="G3" s="48"/>
      <c r="H3" s="49"/>
    </row>
    <row r="4" spans="1:8" ht="21" customHeight="1" x14ac:dyDescent="0.2">
      <c r="A4" s="80" t="s">
        <v>98</v>
      </c>
      <c r="B4" s="44" t="s">
        <v>14</v>
      </c>
      <c r="C4" s="46" t="s">
        <v>0</v>
      </c>
      <c r="D4" s="47">
        <f>Tabella6[[#Totals],[2023]]</f>
        <v>29150</v>
      </c>
      <c r="E4" s="47">
        <f>Tabella6[[#Totals],[2024]]</f>
        <v>21450</v>
      </c>
      <c r="F4" s="47">
        <f>Tabella6[[#Totals],[2025]]</f>
        <v>46850</v>
      </c>
      <c r="G4" s="48"/>
      <c r="H4" s="49"/>
    </row>
    <row r="5" spans="1:8" ht="31.5" customHeight="1" x14ac:dyDescent="0.2">
      <c r="A5" s="80"/>
      <c r="B5" s="44" t="s">
        <v>94</v>
      </c>
      <c r="C5" s="44" t="s">
        <v>93</v>
      </c>
      <c r="D5" s="56">
        <f>D4/D3</f>
        <v>6.1663888442304603E-2</v>
      </c>
      <c r="E5" s="56">
        <f>E4/E3</f>
        <v>4.618982402646063E-2</v>
      </c>
      <c r="F5" s="56">
        <f>F4/F3</f>
        <v>0.10469671473553185</v>
      </c>
      <c r="G5" s="47"/>
      <c r="H5" s="51"/>
    </row>
    <row r="6" spans="1:8" ht="25.5" customHeight="1" x14ac:dyDescent="0.2">
      <c r="A6" s="80" t="s">
        <v>21</v>
      </c>
      <c r="B6" s="44" t="s">
        <v>14</v>
      </c>
      <c r="C6" s="44" t="s">
        <v>0</v>
      </c>
      <c r="D6" s="47">
        <f>Tabella15[kg prodotti 2023]</f>
        <v>203760</v>
      </c>
      <c r="E6" s="50">
        <f>Tabella15[kg prodotti 2024]</f>
        <v>190360</v>
      </c>
      <c r="F6" s="50">
        <f>Tabella15[kg prodotti 2025]</f>
        <v>143240</v>
      </c>
      <c r="G6" s="47"/>
      <c r="H6" s="51"/>
    </row>
    <row r="7" spans="1:8" ht="42.75" customHeight="1" x14ac:dyDescent="0.2">
      <c r="A7" s="80"/>
      <c r="B7" s="46" t="s">
        <v>95</v>
      </c>
      <c r="C7" s="46" t="s">
        <v>93</v>
      </c>
      <c r="D7" s="52">
        <f>D6/D3</f>
        <v>0.43103375331059984</v>
      </c>
      <c r="E7" s="52">
        <f>E6/E3</f>
        <v>0.40991584623203009</v>
      </c>
      <c r="F7" s="52">
        <f>F6/F3</f>
        <v>0.32010154575704552</v>
      </c>
      <c r="G7" s="52"/>
      <c r="H7" s="51"/>
    </row>
    <row r="8" spans="1:8" ht="25.5" customHeight="1" x14ac:dyDescent="0.2">
      <c r="A8" s="80" t="s">
        <v>20</v>
      </c>
      <c r="B8" s="44" t="s">
        <v>14</v>
      </c>
      <c r="C8" s="44" t="s">
        <v>22</v>
      </c>
      <c r="D8" s="47">
        <f>Tab_En_El_acq[[#Totals],[2023]]</f>
        <v>570661.40000000037</v>
      </c>
      <c r="E8" s="50">
        <f>Tab_En_El_acq[[#Totals],[2024]]</f>
        <v>508720</v>
      </c>
      <c r="F8" s="50">
        <f>Tab_En_El_acq[[#Totals],[2025]]</f>
        <v>539562</v>
      </c>
      <c r="G8" s="47"/>
      <c r="H8" s="51"/>
    </row>
    <row r="9" spans="1:8" ht="45.75" customHeight="1" x14ac:dyDescent="0.2">
      <c r="A9" s="80"/>
      <c r="B9" s="46" t="s">
        <v>96</v>
      </c>
      <c r="C9" s="44" t="s">
        <v>97</v>
      </c>
      <c r="D9" s="52">
        <f>D8/D3</f>
        <v>1.2071767035310252</v>
      </c>
      <c r="E9" s="52">
        <f>E8/E3</f>
        <v>1.0954632763981842</v>
      </c>
      <c r="F9" s="52">
        <f>F8/F3</f>
        <v>1.205770945488432</v>
      </c>
      <c r="G9" s="47"/>
      <c r="H9" s="51"/>
    </row>
  </sheetData>
  <mergeCells count="4">
    <mergeCell ref="A1:C1"/>
    <mergeCell ref="A6:A7"/>
    <mergeCell ref="A8:A9"/>
    <mergeCell ref="A4:A5"/>
  </mergeCells>
  <phoneticPr fontId="16" type="noConversion"/>
  <pageMargins left="0.78740157480314965" right="0.78740157480314965" top="0.59055118110236227" bottom="0.59055118110236227" header="0.31496062992125984" footer="0.31496062992125984"/>
  <pageSetup paperSize="9" scale="93" orientation="portrait" r:id="rId1"/>
  <headerFooter alignWithMargins="0">
    <oddHeader>&amp;C&amp;F</oddHeader>
    <oddFooter>&amp;C&amp;A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"/>
  <sheetViews>
    <sheetView zoomScaleNormal="100" zoomScaleSheetLayoutView="55" workbookViewId="0">
      <selection activeCell="D5" sqref="D5:D17"/>
    </sheetView>
  </sheetViews>
  <sheetFormatPr defaultColWidth="9.140625" defaultRowHeight="12.75" x14ac:dyDescent="0.2"/>
  <cols>
    <col min="1" max="1" width="20.140625" style="6" bestFit="1" customWidth="1"/>
    <col min="2" max="2" width="9.140625" style="6"/>
    <col min="3" max="3" width="9.5703125" style="6" bestFit="1" customWidth="1"/>
    <col min="4" max="16384" width="9.140625" style="6"/>
  </cols>
  <sheetData>
    <row r="1" spans="1:9" ht="18.75" x14ac:dyDescent="0.3">
      <c r="A1" s="37" t="s">
        <v>103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18"/>
      <c r="B2" s="31"/>
      <c r="C2" s="31"/>
      <c r="D2" s="31"/>
      <c r="E2" s="31"/>
      <c r="F2" s="31"/>
      <c r="G2" s="31"/>
      <c r="H2" s="31"/>
      <c r="I2" s="31"/>
    </row>
    <row r="3" spans="1:9" ht="15" x14ac:dyDescent="0.25">
      <c r="A3" s="87" t="s">
        <v>111</v>
      </c>
      <c r="B3" s="87"/>
      <c r="C3" s="87"/>
      <c r="D3" s="31"/>
      <c r="E3" s="31"/>
      <c r="F3" s="31"/>
      <c r="G3" s="31"/>
      <c r="H3" s="31"/>
      <c r="I3" s="31"/>
    </row>
    <row r="4" spans="1:9" ht="25.5" customHeight="1" x14ac:dyDescent="0.2">
      <c r="A4" s="2" t="s">
        <v>104</v>
      </c>
      <c r="B4" s="38" t="s">
        <v>55</v>
      </c>
      <c r="C4" s="38" t="s">
        <v>56</v>
      </c>
      <c r="D4" s="38" t="s">
        <v>57</v>
      </c>
      <c r="E4" s="38" t="s">
        <v>58</v>
      </c>
      <c r="F4" s="38" t="s">
        <v>59</v>
      </c>
      <c r="G4" s="38" t="s">
        <v>60</v>
      </c>
      <c r="H4" s="38" t="s">
        <v>61</v>
      </c>
      <c r="I4" s="38" t="s">
        <v>62</v>
      </c>
    </row>
    <row r="5" spans="1:9" x14ac:dyDescent="0.2">
      <c r="A5" s="38" t="s">
        <v>74</v>
      </c>
      <c r="B5" s="32">
        <v>49495.699999999255</v>
      </c>
      <c r="C5" s="32">
        <v>36630</v>
      </c>
      <c r="D5" s="32">
        <v>46427</v>
      </c>
      <c r="E5" s="32"/>
      <c r="F5" s="32"/>
      <c r="G5" s="32"/>
      <c r="H5" s="32"/>
      <c r="I5" s="32"/>
    </row>
    <row r="6" spans="1:9" x14ac:dyDescent="0.2">
      <c r="A6" s="38" t="s">
        <v>75</v>
      </c>
      <c r="B6" s="32">
        <v>48503.200000001118</v>
      </c>
      <c r="C6" s="32">
        <v>44344</v>
      </c>
      <c r="D6" s="32">
        <v>43635</v>
      </c>
      <c r="E6" s="32"/>
      <c r="F6" s="32"/>
      <c r="G6" s="32"/>
      <c r="H6" s="32"/>
      <c r="I6" s="32"/>
    </row>
    <row r="7" spans="1:9" x14ac:dyDescent="0.2">
      <c r="A7" s="38" t="s">
        <v>76</v>
      </c>
      <c r="B7" s="32">
        <v>57982.39999999851</v>
      </c>
      <c r="C7" s="32">
        <v>46733</v>
      </c>
      <c r="D7" s="32">
        <v>49845</v>
      </c>
      <c r="E7" s="32"/>
      <c r="F7" s="32"/>
      <c r="G7" s="32"/>
      <c r="H7" s="32"/>
      <c r="I7" s="32"/>
    </row>
    <row r="8" spans="1:9" x14ac:dyDescent="0.2">
      <c r="A8" s="38" t="s">
        <v>77</v>
      </c>
      <c r="B8" s="32">
        <v>46924.700000001118</v>
      </c>
      <c r="C8" s="32">
        <v>43255</v>
      </c>
      <c r="D8" s="32">
        <v>50505</v>
      </c>
      <c r="E8" s="32"/>
      <c r="F8" s="32"/>
      <c r="G8" s="32"/>
      <c r="H8" s="32"/>
      <c r="I8" s="32"/>
    </row>
    <row r="9" spans="1:9" x14ac:dyDescent="0.2">
      <c r="A9" s="38" t="s">
        <v>78</v>
      </c>
      <c r="B9" s="32">
        <v>46896.799999998882</v>
      </c>
      <c r="C9" s="32">
        <v>43653</v>
      </c>
      <c r="D9" s="32">
        <v>44042</v>
      </c>
      <c r="E9" s="32"/>
      <c r="F9" s="32"/>
      <c r="G9" s="32"/>
      <c r="H9" s="32"/>
      <c r="I9" s="32"/>
    </row>
    <row r="10" spans="1:9" x14ac:dyDescent="0.2">
      <c r="A10" s="38" t="s">
        <v>79</v>
      </c>
      <c r="B10" s="32">
        <v>43762.200000001118</v>
      </c>
      <c r="C10" s="32">
        <v>42940</v>
      </c>
      <c r="D10" s="32">
        <v>41814</v>
      </c>
      <c r="E10" s="32"/>
      <c r="F10" s="32"/>
      <c r="G10" s="32"/>
      <c r="H10" s="32"/>
      <c r="I10" s="32"/>
    </row>
    <row r="11" spans="1:9" x14ac:dyDescent="0.2">
      <c r="A11" s="38" t="s">
        <v>80</v>
      </c>
      <c r="B11" s="32">
        <v>45399.299999998882</v>
      </c>
      <c r="C11" s="32">
        <v>44676</v>
      </c>
      <c r="D11" s="32">
        <v>46327</v>
      </c>
      <c r="E11" s="32"/>
      <c r="F11" s="32"/>
      <c r="G11" s="32"/>
      <c r="H11" s="32"/>
      <c r="I11" s="32"/>
    </row>
    <row r="12" spans="1:9" x14ac:dyDescent="0.2">
      <c r="A12" s="38" t="s">
        <v>81</v>
      </c>
      <c r="B12" s="32">
        <v>40677.980000000447</v>
      </c>
      <c r="C12" s="32">
        <v>21809</v>
      </c>
      <c r="D12" s="32">
        <v>41758</v>
      </c>
      <c r="E12" s="32"/>
      <c r="F12" s="32"/>
      <c r="G12" s="32"/>
      <c r="H12" s="32"/>
      <c r="I12" s="32"/>
    </row>
    <row r="13" spans="1:9" x14ac:dyDescent="0.2">
      <c r="A13" s="38" t="s">
        <v>82</v>
      </c>
      <c r="B13" s="32">
        <v>44601.820000000298</v>
      </c>
      <c r="C13" s="32">
        <v>45727</v>
      </c>
      <c r="D13" s="32">
        <v>45385</v>
      </c>
      <c r="E13" s="32"/>
      <c r="F13" s="32"/>
      <c r="G13" s="32"/>
      <c r="H13" s="32"/>
      <c r="I13" s="32"/>
    </row>
    <row r="14" spans="1:9" x14ac:dyDescent="0.2">
      <c r="A14" s="38" t="s">
        <v>83</v>
      </c>
      <c r="B14" s="32">
        <v>50764.099999999627</v>
      </c>
      <c r="C14" s="32">
        <v>49711</v>
      </c>
      <c r="D14" s="32">
        <v>46742</v>
      </c>
      <c r="E14" s="32"/>
      <c r="F14" s="32"/>
      <c r="G14" s="32"/>
      <c r="H14" s="32"/>
      <c r="I14" s="32"/>
    </row>
    <row r="15" spans="1:9" x14ac:dyDescent="0.2">
      <c r="A15" s="38" t="s">
        <v>84</v>
      </c>
      <c r="B15" s="32">
        <v>42462</v>
      </c>
      <c r="C15" s="32">
        <v>42453</v>
      </c>
      <c r="D15" s="32">
        <v>42839</v>
      </c>
      <c r="E15" s="32"/>
      <c r="F15" s="32"/>
      <c r="G15" s="32"/>
      <c r="H15" s="32"/>
      <c r="I15" s="32"/>
    </row>
    <row r="16" spans="1:9" x14ac:dyDescent="0.2">
      <c r="A16" s="38" t="s">
        <v>85</v>
      </c>
      <c r="B16" s="32">
        <v>53191.200000001118</v>
      </c>
      <c r="C16" s="32">
        <v>46789</v>
      </c>
      <c r="D16" s="32">
        <v>40243</v>
      </c>
      <c r="E16" s="32"/>
      <c r="F16" s="32"/>
      <c r="G16" s="32"/>
      <c r="H16" s="32"/>
      <c r="I16" s="32"/>
    </row>
    <row r="17" spans="1:9" x14ac:dyDescent="0.2">
      <c r="A17" s="31" t="s">
        <v>14</v>
      </c>
      <c r="B17" s="32">
        <f>SUBTOTAL(109,Tab_En_El_acq[2023])</f>
        <v>570661.40000000037</v>
      </c>
      <c r="C17" s="32">
        <f>SUBTOTAL(109,Tab_En_El_acq[2024])</f>
        <v>508720</v>
      </c>
      <c r="D17" s="32">
        <f>SUBTOTAL(109,Tab_En_El_acq[2025])</f>
        <v>539562</v>
      </c>
      <c r="E17" s="32">
        <f>SUBTOTAL(109,Tab_En_El_acq[2026])</f>
        <v>0</v>
      </c>
      <c r="F17" s="32">
        <f>SUBTOTAL(109,Tab_En_El_acq[2027])</f>
        <v>0</v>
      </c>
      <c r="G17" s="32">
        <f>SUBTOTAL(109,Tab_En_El_acq[2028])</f>
        <v>0</v>
      </c>
      <c r="H17" s="32">
        <f>SUBTOTAL(109,Tab_En_El_acq[2029])</f>
        <v>0</v>
      </c>
      <c r="I17" s="32">
        <f>SUBTOTAL(109,Tab_En_El_acq[2030])</f>
        <v>0</v>
      </c>
    </row>
    <row r="18" spans="1:9" x14ac:dyDescent="0.2">
      <c r="B18" s="11"/>
    </row>
    <row r="30" spans="1:9" hidden="1" x14ac:dyDescent="0.2"/>
    <row r="43" hidden="1" x14ac:dyDescent="0.2"/>
    <row r="56" hidden="1" x14ac:dyDescent="0.2"/>
    <row r="69" hidden="1" x14ac:dyDescent="0.2"/>
    <row r="82" hidden="1" x14ac:dyDescent="0.2"/>
    <row r="95" hidden="1" x14ac:dyDescent="0.2"/>
    <row r="99" ht="25.5" customHeight="1" x14ac:dyDescent="0.2"/>
  </sheetData>
  <mergeCells count="1">
    <mergeCell ref="A3:C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3" orientation="portrait" r:id="rId1"/>
  <headerFooter alignWithMargins="0">
    <oddHeader>&amp;C&amp;F</oddHeader>
    <oddFooter>&amp;C&amp;A</oddFooter>
  </headerFooter>
  <rowBreaks count="1" manualBreakCount="1">
    <brk id="56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1"/>
  <sheetViews>
    <sheetView topLeftCell="A70" zoomScale="115" zoomScaleNormal="115" workbookViewId="0">
      <selection activeCell="G55" sqref="G55"/>
    </sheetView>
  </sheetViews>
  <sheetFormatPr defaultColWidth="9.140625" defaultRowHeight="12.75" x14ac:dyDescent="0.2"/>
  <cols>
    <col min="1" max="9" width="11.7109375" style="6" customWidth="1"/>
    <col min="10" max="10" width="9.140625" style="6"/>
    <col min="11" max="11" width="11.7109375" style="6" customWidth="1"/>
    <col min="12" max="16384" width="9.140625" style="6"/>
  </cols>
  <sheetData>
    <row r="1" spans="1:9" ht="18" customHeight="1" x14ac:dyDescent="0.2">
      <c r="A1" s="4" t="s">
        <v>105</v>
      </c>
    </row>
    <row r="2" spans="1:9" s="5" customFormat="1" ht="20.25" customHeight="1" x14ac:dyDescent="0.2">
      <c r="A2" s="20" t="s">
        <v>66</v>
      </c>
      <c r="B2" s="5" t="s">
        <v>55</v>
      </c>
      <c r="C2" s="5" t="s">
        <v>56</v>
      </c>
      <c r="D2" s="5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62</v>
      </c>
    </row>
    <row r="3" spans="1:9" x14ac:dyDescent="0.2">
      <c r="A3" s="30" t="s">
        <v>2</v>
      </c>
      <c r="B3" s="11">
        <v>10622</v>
      </c>
      <c r="C3" s="11">
        <v>14147</v>
      </c>
      <c r="D3" s="11">
        <v>13169</v>
      </c>
    </row>
    <row r="4" spans="1:9" x14ac:dyDescent="0.2">
      <c r="A4" s="30" t="s">
        <v>3</v>
      </c>
      <c r="B4" s="11">
        <v>12204</v>
      </c>
      <c r="C4" s="11">
        <v>15957</v>
      </c>
      <c r="D4" s="11">
        <v>15374</v>
      </c>
    </row>
    <row r="5" spans="1:9" x14ac:dyDescent="0.2">
      <c r="A5" s="30" t="s">
        <v>4</v>
      </c>
      <c r="B5" s="11">
        <v>16053</v>
      </c>
      <c r="C5" s="11">
        <v>12515</v>
      </c>
      <c r="D5" s="11">
        <v>14186</v>
      </c>
    </row>
    <row r="6" spans="1:9" x14ac:dyDescent="0.2">
      <c r="A6" s="30" t="s">
        <v>5</v>
      </c>
      <c r="B6" s="11">
        <v>15249</v>
      </c>
      <c r="C6" s="11">
        <v>13966</v>
      </c>
      <c r="D6" s="11">
        <v>13981</v>
      </c>
    </row>
    <row r="7" spans="1:9" x14ac:dyDescent="0.2">
      <c r="A7" s="30" t="s">
        <v>6</v>
      </c>
      <c r="B7" s="11">
        <v>14521</v>
      </c>
      <c r="C7" s="11">
        <v>16150</v>
      </c>
      <c r="D7" s="11">
        <v>14146</v>
      </c>
    </row>
    <row r="8" spans="1:9" x14ac:dyDescent="0.2">
      <c r="A8" s="30" t="s">
        <v>7</v>
      </c>
      <c r="B8" s="11">
        <v>13584</v>
      </c>
      <c r="C8" s="11">
        <v>14248</v>
      </c>
      <c r="D8" s="11">
        <v>17059</v>
      </c>
    </row>
    <row r="9" spans="1:9" x14ac:dyDescent="0.2">
      <c r="A9" s="30" t="s">
        <v>8</v>
      </c>
      <c r="B9" s="11">
        <v>11558</v>
      </c>
      <c r="C9" s="11">
        <v>16038</v>
      </c>
      <c r="D9" s="11">
        <v>15836</v>
      </c>
    </row>
    <row r="10" spans="1:9" x14ac:dyDescent="0.2">
      <c r="A10" s="30" t="s">
        <v>9</v>
      </c>
      <c r="B10" s="11">
        <v>4978</v>
      </c>
      <c r="C10" s="11">
        <v>518</v>
      </c>
      <c r="D10" s="6">
        <v>0</v>
      </c>
    </row>
    <row r="11" spans="1:9" x14ac:dyDescent="0.2">
      <c r="A11" s="30" t="s">
        <v>10</v>
      </c>
      <c r="B11" s="11">
        <v>14719</v>
      </c>
      <c r="C11" s="11">
        <v>12981</v>
      </c>
      <c r="D11" s="11">
        <v>16047</v>
      </c>
    </row>
    <row r="12" spans="1:9" x14ac:dyDescent="0.2">
      <c r="A12" s="30" t="s">
        <v>11</v>
      </c>
      <c r="B12" s="11">
        <v>15329</v>
      </c>
      <c r="C12" s="11">
        <v>7972</v>
      </c>
      <c r="D12" s="11">
        <v>14618</v>
      </c>
    </row>
    <row r="13" spans="1:9" x14ac:dyDescent="0.2">
      <c r="A13" s="30" t="s">
        <v>12</v>
      </c>
      <c r="B13" s="11">
        <v>15424</v>
      </c>
      <c r="C13" s="11">
        <v>14470</v>
      </c>
      <c r="D13" s="11">
        <v>13854</v>
      </c>
    </row>
    <row r="14" spans="1:9" x14ac:dyDescent="0.2">
      <c r="A14" s="30" t="s">
        <v>13</v>
      </c>
      <c r="B14" s="11">
        <v>9695</v>
      </c>
      <c r="C14" s="11">
        <v>2332</v>
      </c>
      <c r="D14" s="11">
        <v>9412</v>
      </c>
    </row>
    <row r="15" spans="1:9" s="5" customFormat="1" x14ac:dyDescent="0.2">
      <c r="A15" s="20" t="s">
        <v>14</v>
      </c>
      <c r="B15" s="53">
        <f>SUBTOTAL(109,Tabella1[2023])</f>
        <v>153936</v>
      </c>
      <c r="C15" s="53">
        <f>SUBTOTAL(109,Tabella1[2024])</f>
        <v>141294</v>
      </c>
      <c r="D15" s="53">
        <f>SUBTOTAL(109,Tabella1[2025])</f>
        <v>157682</v>
      </c>
      <c r="E15" s="20">
        <f>SUBTOTAL(109,Tabella1[2026])</f>
        <v>0</v>
      </c>
      <c r="F15" s="20">
        <f>SUBTOTAL(109,Tabella1[2027])</f>
        <v>0</v>
      </c>
      <c r="G15" s="20">
        <f>SUBTOTAL(109,Tabella1[2028])</f>
        <v>0</v>
      </c>
      <c r="H15" s="20">
        <f>SUBTOTAL(109,Tabella1[2029])</f>
        <v>0</v>
      </c>
      <c r="I15" s="20">
        <f>SUBTOTAL(109,Tabella1[2030])</f>
        <v>0</v>
      </c>
    </row>
    <row r="20" spans="1:9" x14ac:dyDescent="0.2">
      <c r="A20" s="4" t="s">
        <v>106</v>
      </c>
    </row>
    <row r="21" spans="1:9" ht="14.25" x14ac:dyDescent="0.2">
      <c r="A21" s="20" t="s">
        <v>66</v>
      </c>
      <c r="B21" s="5" t="s">
        <v>55</v>
      </c>
      <c r="C21" s="5" t="s">
        <v>56</v>
      </c>
      <c r="D21" s="5" t="s">
        <v>57</v>
      </c>
      <c r="E21" s="5" t="s">
        <v>58</v>
      </c>
      <c r="F21" s="5" t="s">
        <v>59</v>
      </c>
      <c r="G21" s="5" t="s">
        <v>60</v>
      </c>
      <c r="H21" s="5" t="s">
        <v>61</v>
      </c>
      <c r="I21" s="5" t="s">
        <v>62</v>
      </c>
    </row>
    <row r="22" spans="1:9" x14ac:dyDescent="0.2">
      <c r="A22" s="30" t="s">
        <v>2</v>
      </c>
      <c r="B22" s="11">
        <v>15657</v>
      </c>
      <c r="C22" s="11">
        <v>9250</v>
      </c>
      <c r="D22" s="11">
        <v>7055</v>
      </c>
    </row>
    <row r="23" spans="1:9" x14ac:dyDescent="0.2">
      <c r="A23" s="30" t="s">
        <v>3</v>
      </c>
      <c r="B23" s="11">
        <v>15617</v>
      </c>
      <c r="C23" s="11">
        <v>12843</v>
      </c>
      <c r="D23" s="11">
        <v>9279</v>
      </c>
    </row>
    <row r="24" spans="1:9" x14ac:dyDescent="0.2">
      <c r="A24" s="30" t="s">
        <v>4</v>
      </c>
      <c r="B24" s="11">
        <v>13849</v>
      </c>
      <c r="C24" s="11">
        <v>12092</v>
      </c>
      <c r="D24" s="11">
        <v>10616</v>
      </c>
    </row>
    <row r="25" spans="1:9" x14ac:dyDescent="0.2">
      <c r="A25" s="30" t="s">
        <v>5</v>
      </c>
      <c r="B25" s="11">
        <v>11279</v>
      </c>
      <c r="C25" s="11">
        <v>13503</v>
      </c>
      <c r="D25" s="11">
        <v>10253</v>
      </c>
    </row>
    <row r="26" spans="1:9" x14ac:dyDescent="0.2">
      <c r="A26" s="30" t="s">
        <v>6</v>
      </c>
      <c r="B26" s="11">
        <v>12272</v>
      </c>
      <c r="C26" s="11">
        <v>12665</v>
      </c>
      <c r="D26" s="11">
        <v>9101</v>
      </c>
    </row>
    <row r="27" spans="1:9" x14ac:dyDescent="0.2">
      <c r="A27" s="30" t="s">
        <v>7</v>
      </c>
      <c r="B27" s="11">
        <v>11199</v>
      </c>
      <c r="C27" s="11">
        <v>9263</v>
      </c>
      <c r="D27" s="11">
        <v>10041</v>
      </c>
    </row>
    <row r="28" spans="1:9" x14ac:dyDescent="0.2">
      <c r="A28" s="30" t="s">
        <v>8</v>
      </c>
      <c r="B28" s="11">
        <v>11498</v>
      </c>
      <c r="C28" s="11">
        <v>10926</v>
      </c>
      <c r="D28" s="11">
        <v>11902</v>
      </c>
    </row>
    <row r="29" spans="1:9" x14ac:dyDescent="0.2">
      <c r="A29" s="30" t="s">
        <v>9</v>
      </c>
      <c r="B29" s="11">
        <v>398</v>
      </c>
      <c r="C29" s="11">
        <v>602</v>
      </c>
      <c r="D29" s="11">
        <v>26</v>
      </c>
    </row>
    <row r="30" spans="1:9" x14ac:dyDescent="0.2">
      <c r="A30" s="30" t="s">
        <v>10</v>
      </c>
      <c r="B30" s="11">
        <v>10645</v>
      </c>
      <c r="C30" s="11">
        <v>10306</v>
      </c>
      <c r="D30" s="11">
        <v>11971</v>
      </c>
    </row>
    <row r="31" spans="1:9" x14ac:dyDescent="0.2">
      <c r="A31" s="30" t="s">
        <v>11</v>
      </c>
      <c r="B31" s="11">
        <v>11367</v>
      </c>
      <c r="C31" s="11">
        <v>14039</v>
      </c>
      <c r="D31" s="11">
        <v>12152</v>
      </c>
    </row>
    <row r="32" spans="1:9" x14ac:dyDescent="0.2">
      <c r="A32" s="30" t="s">
        <v>12</v>
      </c>
      <c r="B32" s="11">
        <v>9353</v>
      </c>
      <c r="C32" s="11">
        <v>11042</v>
      </c>
      <c r="D32" s="11">
        <v>8712</v>
      </c>
    </row>
    <row r="33" spans="1:9" x14ac:dyDescent="0.2">
      <c r="A33" s="30" t="s">
        <v>13</v>
      </c>
      <c r="B33" s="11">
        <v>6850</v>
      </c>
      <c r="C33" s="11">
        <v>7116</v>
      </c>
      <c r="D33" s="11">
        <v>6884</v>
      </c>
    </row>
    <row r="34" spans="1:9" x14ac:dyDescent="0.2">
      <c r="A34" s="20" t="s">
        <v>14</v>
      </c>
      <c r="B34" s="53">
        <f>SUBTOTAL(109,Tabella18[2023])</f>
        <v>129984</v>
      </c>
      <c r="C34" s="53">
        <f>SUBTOTAL(109,Tabella18[2024])</f>
        <v>123647</v>
      </c>
      <c r="D34" s="20">
        <f>SUBTOTAL(109,Tabella18[2025])</f>
        <v>107992</v>
      </c>
      <c r="E34" s="20">
        <f>SUBTOTAL(109,Tabella18[2026])</f>
        <v>0</v>
      </c>
      <c r="F34" s="20">
        <f>SUBTOTAL(109,Tabella18[2027])</f>
        <v>0</v>
      </c>
      <c r="G34" s="20">
        <f>SUBTOTAL(109,Tabella18[2028])</f>
        <v>0</v>
      </c>
      <c r="H34" s="20">
        <f>SUBTOTAL(109,Tabella18[2029])</f>
        <v>0</v>
      </c>
      <c r="I34" s="20">
        <f>SUBTOTAL(109,Tabella18[2030])</f>
        <v>0</v>
      </c>
    </row>
    <row r="39" spans="1:9" x14ac:dyDescent="0.2">
      <c r="A39" s="4" t="s">
        <v>107</v>
      </c>
    </row>
    <row r="40" spans="1:9" ht="14.25" x14ac:dyDescent="0.2">
      <c r="A40" s="20" t="s">
        <v>66</v>
      </c>
      <c r="B40" s="5" t="s">
        <v>55</v>
      </c>
      <c r="C40" s="5" t="s">
        <v>56</v>
      </c>
      <c r="D40" s="5" t="s">
        <v>57</v>
      </c>
      <c r="E40" s="5" t="s">
        <v>58</v>
      </c>
      <c r="F40" s="5" t="s">
        <v>59</v>
      </c>
      <c r="G40" s="5" t="s">
        <v>60</v>
      </c>
      <c r="H40" s="5" t="s">
        <v>61</v>
      </c>
      <c r="I40" s="5" t="s">
        <v>62</v>
      </c>
    </row>
    <row r="41" spans="1:9" x14ac:dyDescent="0.2">
      <c r="A41" s="30" t="s">
        <v>2</v>
      </c>
      <c r="B41" s="11">
        <v>16747</v>
      </c>
      <c r="C41" s="11">
        <v>12133</v>
      </c>
      <c r="D41" s="11">
        <v>20565</v>
      </c>
    </row>
    <row r="42" spans="1:9" x14ac:dyDescent="0.2">
      <c r="A42" s="30" t="s">
        <v>3</v>
      </c>
      <c r="B42" s="11">
        <v>20336</v>
      </c>
      <c r="C42" s="11">
        <v>15242</v>
      </c>
      <c r="D42" s="11">
        <v>21275</v>
      </c>
    </row>
    <row r="43" spans="1:9" x14ac:dyDescent="0.2">
      <c r="A43" s="30" t="s">
        <v>4</v>
      </c>
      <c r="B43" s="11">
        <v>24428</v>
      </c>
      <c r="C43" s="11">
        <v>16148</v>
      </c>
      <c r="D43" s="11">
        <v>20266</v>
      </c>
    </row>
    <row r="44" spans="1:9" x14ac:dyDescent="0.2">
      <c r="A44" s="30" t="s">
        <v>5</v>
      </c>
      <c r="B44" s="11">
        <v>12650</v>
      </c>
      <c r="C44" s="11">
        <v>20643</v>
      </c>
      <c r="D44" s="11">
        <v>21684</v>
      </c>
    </row>
    <row r="45" spans="1:9" x14ac:dyDescent="0.2">
      <c r="A45" s="30" t="s">
        <v>6</v>
      </c>
      <c r="B45" s="11">
        <v>23810</v>
      </c>
      <c r="C45" s="11">
        <v>21916</v>
      </c>
      <c r="D45" s="11">
        <v>16213</v>
      </c>
    </row>
    <row r="46" spans="1:9" x14ac:dyDescent="0.2">
      <c r="A46" s="30" t="s">
        <v>7</v>
      </c>
      <c r="B46" s="11">
        <v>14923</v>
      </c>
      <c r="C46" s="11">
        <v>14200</v>
      </c>
      <c r="D46" s="11">
        <v>13100</v>
      </c>
    </row>
    <row r="47" spans="1:9" x14ac:dyDescent="0.2">
      <c r="A47" s="30" t="s">
        <v>8</v>
      </c>
      <c r="B47" s="11">
        <v>13672</v>
      </c>
      <c r="C47" s="11">
        <v>16036</v>
      </c>
      <c r="D47" s="11">
        <v>15362</v>
      </c>
    </row>
    <row r="48" spans="1:9" x14ac:dyDescent="0.2">
      <c r="A48" s="30" t="s">
        <v>9</v>
      </c>
      <c r="B48" s="11">
        <v>1811</v>
      </c>
      <c r="C48" s="11">
        <v>4832</v>
      </c>
      <c r="D48" s="6">
        <v>47</v>
      </c>
    </row>
    <row r="49" spans="1:9" x14ac:dyDescent="0.2">
      <c r="A49" s="30" t="s">
        <v>10</v>
      </c>
      <c r="B49" s="11">
        <v>19456</v>
      </c>
      <c r="C49" s="11">
        <v>13726</v>
      </c>
      <c r="D49" s="11">
        <v>14861</v>
      </c>
    </row>
    <row r="50" spans="1:9" x14ac:dyDescent="0.2">
      <c r="A50" s="30" t="s">
        <v>11</v>
      </c>
      <c r="B50" s="11">
        <v>11994</v>
      </c>
      <c r="C50" s="11">
        <v>15889</v>
      </c>
      <c r="D50" s="11">
        <v>14398</v>
      </c>
    </row>
    <row r="51" spans="1:9" x14ac:dyDescent="0.2">
      <c r="A51" s="30" t="s">
        <v>12</v>
      </c>
      <c r="B51" s="11">
        <v>9413</v>
      </c>
      <c r="C51" s="11">
        <v>13983</v>
      </c>
      <c r="D51" s="11">
        <v>13447</v>
      </c>
    </row>
    <row r="52" spans="1:9" x14ac:dyDescent="0.2">
      <c r="A52" s="30" t="s">
        <v>13</v>
      </c>
      <c r="B52" s="11">
        <v>8941</v>
      </c>
      <c r="C52" s="11">
        <v>10618</v>
      </c>
      <c r="D52" s="11">
        <v>10591</v>
      </c>
    </row>
    <row r="53" spans="1:9" x14ac:dyDescent="0.2">
      <c r="A53" s="20" t="s">
        <v>14</v>
      </c>
      <c r="B53" s="53">
        <f>SUBTOTAL(109,Tabella189[2023])</f>
        <v>178181</v>
      </c>
      <c r="C53" s="53">
        <f>SUBTOTAL(109,Tabella189[2024])</f>
        <v>175366</v>
      </c>
      <c r="D53" s="20">
        <f>SUBTOTAL(109,Tabella189[2025])</f>
        <v>181809</v>
      </c>
      <c r="E53" s="20">
        <f>SUBTOTAL(109,Tabella189[2026])</f>
        <v>0</v>
      </c>
      <c r="F53" s="20">
        <f>SUBTOTAL(109,Tabella189[2027])</f>
        <v>0</v>
      </c>
      <c r="G53" s="20">
        <f>SUBTOTAL(109,Tabella189[2028])</f>
        <v>0</v>
      </c>
      <c r="H53" s="20">
        <f>SUBTOTAL(109,Tabella189[2029])</f>
        <v>0</v>
      </c>
      <c r="I53" s="20">
        <f>SUBTOTAL(109,Tabella189[2030])</f>
        <v>0</v>
      </c>
    </row>
    <row r="58" spans="1:9" x14ac:dyDescent="0.2">
      <c r="A58" s="4" t="s">
        <v>67</v>
      </c>
    </row>
    <row r="59" spans="1:9" ht="14.25" x14ac:dyDescent="0.2">
      <c r="A59" s="20" t="s">
        <v>66</v>
      </c>
      <c r="B59" s="5" t="s">
        <v>55</v>
      </c>
      <c r="C59" s="5" t="s">
        <v>56</v>
      </c>
      <c r="D59" s="5" t="s">
        <v>57</v>
      </c>
      <c r="E59" s="5" t="s">
        <v>58</v>
      </c>
      <c r="F59" s="5" t="s">
        <v>59</v>
      </c>
      <c r="G59" s="5" t="s">
        <v>60</v>
      </c>
      <c r="H59" s="5" t="s">
        <v>61</v>
      </c>
      <c r="I59" s="5" t="s">
        <v>62</v>
      </c>
    </row>
    <row r="60" spans="1:9" x14ac:dyDescent="0.2">
      <c r="A60" s="30" t="s">
        <v>2</v>
      </c>
    </row>
    <row r="61" spans="1:9" x14ac:dyDescent="0.2">
      <c r="A61" s="30" t="s">
        <v>3</v>
      </c>
    </row>
    <row r="62" spans="1:9" x14ac:dyDescent="0.2">
      <c r="A62" s="30" t="s">
        <v>4</v>
      </c>
    </row>
    <row r="63" spans="1:9" x14ac:dyDescent="0.2">
      <c r="A63" s="30" t="s">
        <v>5</v>
      </c>
    </row>
    <row r="64" spans="1:9" x14ac:dyDescent="0.2">
      <c r="A64" s="30" t="s">
        <v>6</v>
      </c>
    </row>
    <row r="65" spans="1:12" x14ac:dyDescent="0.2">
      <c r="A65" s="30" t="s">
        <v>7</v>
      </c>
    </row>
    <row r="66" spans="1:12" x14ac:dyDescent="0.2">
      <c r="A66" s="30" t="s">
        <v>8</v>
      </c>
      <c r="L66" s="11"/>
    </row>
    <row r="67" spans="1:12" x14ac:dyDescent="0.2">
      <c r="A67" s="30" t="s">
        <v>9</v>
      </c>
    </row>
    <row r="68" spans="1:12" x14ac:dyDescent="0.2">
      <c r="A68" s="30" t="s">
        <v>10</v>
      </c>
    </row>
    <row r="69" spans="1:12" x14ac:dyDescent="0.2">
      <c r="A69" s="30" t="s">
        <v>11</v>
      </c>
    </row>
    <row r="70" spans="1:12" x14ac:dyDescent="0.2">
      <c r="A70" s="30" t="s">
        <v>12</v>
      </c>
    </row>
    <row r="71" spans="1:12" x14ac:dyDescent="0.2">
      <c r="A71" s="30" t="s">
        <v>13</v>
      </c>
    </row>
    <row r="72" spans="1:12" x14ac:dyDescent="0.2">
      <c r="A72" s="53" t="s">
        <v>14</v>
      </c>
      <c r="B72" s="53" t="s">
        <v>112</v>
      </c>
      <c r="C72" s="53" t="s">
        <v>130</v>
      </c>
      <c r="D72" s="53" t="s">
        <v>200</v>
      </c>
      <c r="E72" s="53">
        <f>SUBTOTAL(109,Tabella18910[2026])</f>
        <v>0</v>
      </c>
      <c r="F72" s="53">
        <f>SUBTOTAL(109,Tabella18910[2027])</f>
        <v>0</v>
      </c>
      <c r="G72" s="53">
        <f>SUBTOTAL(109,Tabella18910[2028])</f>
        <v>0</v>
      </c>
      <c r="H72" s="53">
        <f>SUBTOTAL(109,Tabella18910[2029])</f>
        <v>0</v>
      </c>
      <c r="I72" s="53">
        <f>SUBTOTAL(109,Tabella18910[2030])</f>
        <v>0</v>
      </c>
    </row>
    <row r="77" spans="1:12" x14ac:dyDescent="0.2">
      <c r="A77" s="4" t="s">
        <v>68</v>
      </c>
    </row>
    <row r="78" spans="1:12" ht="14.25" x14ac:dyDescent="0.2">
      <c r="A78" s="20" t="s">
        <v>66</v>
      </c>
      <c r="B78" s="5" t="s">
        <v>55</v>
      </c>
      <c r="C78" s="5" t="s">
        <v>56</v>
      </c>
      <c r="D78" s="5" t="s">
        <v>57</v>
      </c>
      <c r="E78" s="5" t="s">
        <v>58</v>
      </c>
      <c r="F78" s="5" t="s">
        <v>59</v>
      </c>
      <c r="G78" s="5" t="s">
        <v>60</v>
      </c>
      <c r="H78" s="5" t="s">
        <v>61</v>
      </c>
      <c r="I78" s="5" t="s">
        <v>62</v>
      </c>
    </row>
    <row r="79" spans="1:12" x14ac:dyDescent="0.2">
      <c r="A79" s="30" t="s">
        <v>2</v>
      </c>
      <c r="B79" s="6">
        <v>0</v>
      </c>
      <c r="C79" s="6">
        <v>0</v>
      </c>
      <c r="D79" s="6">
        <v>0</v>
      </c>
    </row>
    <row r="80" spans="1:12" x14ac:dyDescent="0.2">
      <c r="A80" s="30" t="s">
        <v>3</v>
      </c>
      <c r="B80" s="6">
        <v>0</v>
      </c>
      <c r="C80" s="6">
        <v>0</v>
      </c>
      <c r="D80" s="6">
        <v>0</v>
      </c>
    </row>
    <row r="81" spans="1:9" x14ac:dyDescent="0.2">
      <c r="A81" s="30" t="s">
        <v>4</v>
      </c>
      <c r="B81" s="6">
        <v>0</v>
      </c>
      <c r="C81" s="6">
        <v>0</v>
      </c>
      <c r="D81" s="6">
        <v>0</v>
      </c>
    </row>
    <row r="82" spans="1:9" x14ac:dyDescent="0.2">
      <c r="A82" s="30" t="s">
        <v>5</v>
      </c>
      <c r="B82" s="6">
        <v>0</v>
      </c>
      <c r="C82" s="6">
        <v>0</v>
      </c>
      <c r="D82" s="6">
        <v>0</v>
      </c>
    </row>
    <row r="83" spans="1:9" x14ac:dyDescent="0.2">
      <c r="A83" s="30" t="s">
        <v>6</v>
      </c>
      <c r="B83" s="6">
        <v>0</v>
      </c>
      <c r="C83" s="6">
        <v>0</v>
      </c>
      <c r="D83" s="6">
        <v>0</v>
      </c>
    </row>
    <row r="84" spans="1:9" x14ac:dyDescent="0.2">
      <c r="A84" s="30" t="s">
        <v>7</v>
      </c>
      <c r="B84" s="6">
        <v>0</v>
      </c>
      <c r="C84" s="6">
        <v>0</v>
      </c>
      <c r="D84" s="6">
        <v>0</v>
      </c>
    </row>
    <row r="85" spans="1:9" x14ac:dyDescent="0.2">
      <c r="A85" s="30" t="s">
        <v>8</v>
      </c>
      <c r="B85" s="6">
        <v>0</v>
      </c>
      <c r="C85" s="6">
        <v>0</v>
      </c>
      <c r="D85" s="6">
        <v>0</v>
      </c>
    </row>
    <row r="86" spans="1:9" x14ac:dyDescent="0.2">
      <c r="A86" s="30" t="s">
        <v>9</v>
      </c>
      <c r="B86" s="6">
        <v>0</v>
      </c>
      <c r="C86" s="6">
        <v>0</v>
      </c>
      <c r="D86" s="6">
        <v>0</v>
      </c>
    </row>
    <row r="87" spans="1:9" x14ac:dyDescent="0.2">
      <c r="A87" s="30" t="s">
        <v>10</v>
      </c>
      <c r="B87" s="6">
        <v>0</v>
      </c>
      <c r="C87" s="6">
        <v>0</v>
      </c>
      <c r="D87" s="6">
        <v>0</v>
      </c>
    </row>
    <row r="88" spans="1:9" x14ac:dyDescent="0.2">
      <c r="A88" s="30" t="s">
        <v>11</v>
      </c>
      <c r="B88" s="6">
        <v>0</v>
      </c>
      <c r="C88" s="6">
        <v>0</v>
      </c>
      <c r="D88" s="6">
        <v>0</v>
      </c>
    </row>
    <row r="89" spans="1:9" x14ac:dyDescent="0.2">
      <c r="A89" s="30" t="s">
        <v>12</v>
      </c>
      <c r="B89" s="6">
        <v>0</v>
      </c>
      <c r="C89" s="6">
        <v>0</v>
      </c>
      <c r="D89" s="6">
        <v>0</v>
      </c>
    </row>
    <row r="90" spans="1:9" x14ac:dyDescent="0.2">
      <c r="A90" s="30" t="s">
        <v>13</v>
      </c>
      <c r="B90" s="6">
        <v>0</v>
      </c>
      <c r="C90" s="6">
        <v>0</v>
      </c>
      <c r="D90" s="6">
        <v>0</v>
      </c>
    </row>
    <row r="91" spans="1:9" x14ac:dyDescent="0.2">
      <c r="A91" s="20" t="s">
        <v>14</v>
      </c>
      <c r="B91" s="20">
        <f>SUBTOTAL(109,Tabella1891011[2023])</f>
        <v>0</v>
      </c>
      <c r="C91" s="20">
        <f>SUBTOTAL(109,Tabella1891011[2024])</f>
        <v>0</v>
      </c>
      <c r="D91" s="20">
        <f>SUBTOTAL(109,Tabella1891011[2025])</f>
        <v>0</v>
      </c>
      <c r="E91" s="20">
        <f>SUBTOTAL(109,Tabella1891011[2026])</f>
        <v>0</v>
      </c>
      <c r="F91" s="20">
        <f>SUBTOTAL(109,Tabella1891011[2027])</f>
        <v>0</v>
      </c>
      <c r="G91" s="20">
        <f>SUBTOTAL(109,Tabella1891011[2028])</f>
        <v>0</v>
      </c>
      <c r="H91" s="20">
        <f>SUBTOTAL(109,Tabella1891011[2029])</f>
        <v>0</v>
      </c>
      <c r="I91" s="20">
        <f>SUBTOTAL(109,Tabella1891011[2030])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&amp;C&amp;F</oddHeader>
    <oddFooter>&amp;C&amp;A</oddFooter>
  </headerFooter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43"/>
  <sheetViews>
    <sheetView topLeftCell="F1" zoomScale="130" zoomScaleNormal="130" workbookViewId="0">
      <pane ySplit="2" topLeftCell="A22" activePane="bottomLeft" state="frozen"/>
      <selection activeCell="C1" sqref="C1"/>
      <selection pane="bottomLeft" activeCell="T46" sqref="T46"/>
    </sheetView>
  </sheetViews>
  <sheetFormatPr defaultColWidth="9.140625" defaultRowHeight="12.75" x14ac:dyDescent="0.2"/>
  <cols>
    <col min="1" max="1" width="10.85546875" style="7" bestFit="1" customWidth="1"/>
    <col min="2" max="2" width="9.140625" style="2"/>
    <col min="3" max="3" width="11.7109375" style="2" customWidth="1"/>
    <col min="4" max="22" width="7.7109375" style="2" customWidth="1"/>
    <col min="23" max="16384" width="9.140625" style="2"/>
  </cols>
  <sheetData>
    <row r="1" spans="1:25" ht="28.5" customHeight="1" x14ac:dyDescent="0.2">
      <c r="A1" s="88" t="s">
        <v>102</v>
      </c>
      <c r="B1" s="88"/>
      <c r="C1" s="88"/>
      <c r="D1" s="88"/>
      <c r="E1" s="88"/>
      <c r="F1" s="88"/>
      <c r="G1" s="88"/>
    </row>
    <row r="2" spans="1:25" s="20" customFormat="1" ht="92.25" x14ac:dyDescent="0.2">
      <c r="A2" s="64" t="s">
        <v>24</v>
      </c>
      <c r="B2" s="65" t="s">
        <v>38</v>
      </c>
      <c r="C2" s="65" t="s">
        <v>39</v>
      </c>
      <c r="D2" s="65" t="s">
        <v>25</v>
      </c>
      <c r="E2" s="65" t="s">
        <v>48</v>
      </c>
      <c r="F2" s="65" t="s">
        <v>26</v>
      </c>
      <c r="G2" s="65" t="s">
        <v>168</v>
      </c>
      <c r="H2" s="65" t="s">
        <v>169</v>
      </c>
      <c r="I2" s="65" t="s">
        <v>27</v>
      </c>
      <c r="J2" s="65" t="s">
        <v>28</v>
      </c>
      <c r="K2" s="65" t="s">
        <v>29</v>
      </c>
      <c r="L2" s="65" t="s">
        <v>69</v>
      </c>
      <c r="M2" s="65" t="s">
        <v>44</v>
      </c>
      <c r="N2" s="65" t="s">
        <v>30</v>
      </c>
      <c r="O2" s="66" t="s">
        <v>40</v>
      </c>
      <c r="P2" s="66" t="s">
        <v>41</v>
      </c>
      <c r="Q2" s="66" t="s">
        <v>42</v>
      </c>
      <c r="R2" s="65" t="s">
        <v>47</v>
      </c>
      <c r="S2" s="65" t="s">
        <v>31</v>
      </c>
      <c r="T2" s="65" t="s">
        <v>46</v>
      </c>
      <c r="U2" s="65" t="s">
        <v>127</v>
      </c>
      <c r="V2" s="65" t="s">
        <v>32</v>
      </c>
      <c r="W2" s="65" t="s">
        <v>33</v>
      </c>
      <c r="X2" s="65" t="s">
        <v>34</v>
      </c>
      <c r="Y2" s="67" t="s">
        <v>35</v>
      </c>
    </row>
    <row r="3" spans="1:25" ht="14.25" customHeight="1" x14ac:dyDescent="0.2">
      <c r="A3" s="57"/>
      <c r="B3" s="3"/>
      <c r="C3" s="3"/>
      <c r="D3" s="3"/>
      <c r="E3" s="35" t="s">
        <v>36</v>
      </c>
      <c r="F3" s="35" t="s">
        <v>36</v>
      </c>
      <c r="G3" s="35" t="s">
        <v>36</v>
      </c>
      <c r="H3" s="36"/>
      <c r="I3" s="35" t="s">
        <v>37</v>
      </c>
      <c r="J3" s="35" t="s">
        <v>36</v>
      </c>
      <c r="K3" s="35" t="s">
        <v>36</v>
      </c>
      <c r="L3" s="36" t="s">
        <v>36</v>
      </c>
      <c r="M3" s="35" t="s">
        <v>36</v>
      </c>
      <c r="N3" s="35" t="s">
        <v>36</v>
      </c>
      <c r="O3" s="35" t="s">
        <v>36</v>
      </c>
      <c r="P3" s="35" t="s">
        <v>36</v>
      </c>
      <c r="Q3" s="35" t="s">
        <v>36</v>
      </c>
      <c r="R3" s="35" t="s">
        <v>36</v>
      </c>
      <c r="S3" s="35" t="s">
        <v>36</v>
      </c>
      <c r="T3" s="35" t="s">
        <v>36</v>
      </c>
      <c r="U3" s="36" t="s">
        <v>36</v>
      </c>
      <c r="V3" s="35" t="s">
        <v>36</v>
      </c>
      <c r="W3" s="35" t="s">
        <v>36</v>
      </c>
      <c r="X3" s="35" t="s">
        <v>36</v>
      </c>
      <c r="Y3" s="58" t="s">
        <v>36</v>
      </c>
    </row>
    <row r="4" spans="1:25" x14ac:dyDescent="0.2">
      <c r="A4" s="57">
        <v>44944</v>
      </c>
      <c r="B4" s="33" t="s">
        <v>113</v>
      </c>
      <c r="C4" s="33" t="s">
        <v>114</v>
      </c>
      <c r="D4" s="3">
        <v>8.68</v>
      </c>
      <c r="E4" s="3">
        <v>70</v>
      </c>
      <c r="F4" s="3">
        <v>423</v>
      </c>
      <c r="G4" s="3">
        <v>180</v>
      </c>
      <c r="H4" s="68">
        <v>40</v>
      </c>
      <c r="I4" s="3">
        <v>23.4</v>
      </c>
      <c r="J4" s="3">
        <v>1.7</v>
      </c>
      <c r="K4" s="3">
        <v>0.16</v>
      </c>
      <c r="L4" s="3">
        <v>39.799999999999997</v>
      </c>
      <c r="M4" s="3">
        <v>1.2</v>
      </c>
      <c r="N4" s="3">
        <v>72</v>
      </c>
      <c r="O4" s="3">
        <v>1.3</v>
      </c>
      <c r="P4" s="3">
        <v>68.5</v>
      </c>
      <c r="Q4" s="3">
        <v>2.2200000000000002</v>
      </c>
      <c r="R4" s="3">
        <v>0.1</v>
      </c>
      <c r="S4" s="3">
        <v>0.05</v>
      </c>
      <c r="T4" s="3">
        <v>2E-3</v>
      </c>
      <c r="U4" s="3"/>
      <c r="V4" s="3">
        <v>0.1</v>
      </c>
      <c r="W4" s="3">
        <v>0.02</v>
      </c>
      <c r="X4" s="3">
        <v>0.05</v>
      </c>
      <c r="Y4" s="59">
        <v>7.0000000000000007E-2</v>
      </c>
    </row>
    <row r="5" spans="1:25" x14ac:dyDescent="0.2">
      <c r="A5" s="57">
        <v>44974</v>
      </c>
      <c r="B5" s="33" t="s">
        <v>113</v>
      </c>
      <c r="C5" s="33" t="s">
        <v>115</v>
      </c>
      <c r="D5" s="3">
        <v>7.01</v>
      </c>
      <c r="E5" s="3">
        <v>55.4</v>
      </c>
      <c r="F5" s="3">
        <v>429</v>
      </c>
      <c r="G5" s="3">
        <v>215</v>
      </c>
      <c r="H5" s="68">
        <v>20</v>
      </c>
      <c r="I5" s="3">
        <v>24.6</v>
      </c>
      <c r="J5" s="3">
        <v>1</v>
      </c>
      <c r="K5" s="3">
        <v>0.02</v>
      </c>
      <c r="L5" s="3">
        <v>30.7</v>
      </c>
      <c r="M5" s="3">
        <v>4.0999999999999996</v>
      </c>
      <c r="N5" s="3">
        <v>34.700000000000003</v>
      </c>
      <c r="O5" s="3">
        <v>1.6</v>
      </c>
      <c r="P5" s="3">
        <v>26.9</v>
      </c>
      <c r="Q5" s="3">
        <v>6.2</v>
      </c>
      <c r="R5" s="3">
        <v>0.1</v>
      </c>
      <c r="S5" s="3">
        <v>0.05</v>
      </c>
      <c r="T5" s="3">
        <v>2E-3</v>
      </c>
      <c r="U5" s="3"/>
      <c r="V5" s="3">
        <v>0.1</v>
      </c>
      <c r="W5" s="3">
        <v>0.02</v>
      </c>
      <c r="X5" s="3">
        <v>0.05</v>
      </c>
      <c r="Y5" s="59">
        <v>0.21</v>
      </c>
    </row>
    <row r="6" spans="1:25" x14ac:dyDescent="0.2">
      <c r="A6" s="57">
        <v>45001</v>
      </c>
      <c r="B6" s="33" t="s">
        <v>113</v>
      </c>
      <c r="C6" s="33" t="s">
        <v>116</v>
      </c>
      <c r="D6" s="3">
        <v>6.96</v>
      </c>
      <c r="E6" s="3">
        <v>76.8</v>
      </c>
      <c r="F6" s="3">
        <v>468</v>
      </c>
      <c r="G6" s="3">
        <v>248</v>
      </c>
      <c r="H6" s="68">
        <v>20</v>
      </c>
      <c r="I6" s="3">
        <v>38.299999999999997</v>
      </c>
      <c r="J6" s="3">
        <v>1</v>
      </c>
      <c r="K6" s="3">
        <v>0.02</v>
      </c>
      <c r="L6" s="3">
        <v>44.8</v>
      </c>
      <c r="M6" s="3">
        <v>3.5</v>
      </c>
      <c r="N6" s="3">
        <v>44.4</v>
      </c>
      <c r="O6" s="3">
        <v>1.5</v>
      </c>
      <c r="P6" s="3">
        <v>36.6</v>
      </c>
      <c r="Q6" s="3">
        <v>6.3</v>
      </c>
      <c r="R6" s="3">
        <v>0.1</v>
      </c>
      <c r="S6" s="3">
        <v>0.05</v>
      </c>
      <c r="T6" s="3">
        <v>2E-3</v>
      </c>
      <c r="U6" s="3"/>
      <c r="V6" s="3">
        <v>0.1</v>
      </c>
      <c r="W6" s="3">
        <v>0.02</v>
      </c>
      <c r="X6" s="3">
        <v>0.05</v>
      </c>
      <c r="Y6" s="59">
        <v>0.17</v>
      </c>
    </row>
    <row r="7" spans="1:25" x14ac:dyDescent="0.2">
      <c r="A7" s="57">
        <v>45033</v>
      </c>
      <c r="B7" s="33" t="s">
        <v>113</v>
      </c>
      <c r="C7" s="33" t="s">
        <v>117</v>
      </c>
      <c r="D7" s="3">
        <v>7.07</v>
      </c>
      <c r="E7" s="3">
        <v>84</v>
      </c>
      <c r="F7" s="3">
        <v>430</v>
      </c>
      <c r="G7" s="3">
        <v>167</v>
      </c>
      <c r="H7" s="68">
        <v>20</v>
      </c>
      <c r="I7" s="3">
        <v>33.200000000000003</v>
      </c>
      <c r="J7" s="3">
        <v>1</v>
      </c>
      <c r="K7" s="3">
        <v>0.02</v>
      </c>
      <c r="L7" s="3">
        <v>36.4</v>
      </c>
      <c r="M7" s="3">
        <v>2.5</v>
      </c>
      <c r="N7" s="3">
        <v>47.5</v>
      </c>
      <c r="O7" s="3">
        <v>1.1000000000000001</v>
      </c>
      <c r="P7" s="3">
        <v>40.299999999999997</v>
      </c>
      <c r="Q7" s="3">
        <v>6.07</v>
      </c>
      <c r="R7" s="3">
        <v>0.1</v>
      </c>
      <c r="S7" s="3">
        <v>0.05</v>
      </c>
      <c r="T7" s="3">
        <v>2E-3</v>
      </c>
      <c r="U7" s="3"/>
      <c r="V7" s="3">
        <v>0.1</v>
      </c>
      <c r="W7" s="3">
        <v>0.02</v>
      </c>
      <c r="X7" s="3">
        <v>0.05</v>
      </c>
      <c r="Y7" s="59">
        <v>0.15</v>
      </c>
    </row>
    <row r="8" spans="1:25" x14ac:dyDescent="0.2">
      <c r="A8" s="57">
        <v>45062</v>
      </c>
      <c r="B8" s="33" t="s">
        <v>113</v>
      </c>
      <c r="C8" s="33" t="s">
        <v>118</v>
      </c>
      <c r="D8" s="3">
        <v>7.21</v>
      </c>
      <c r="E8" s="3">
        <v>62.6</v>
      </c>
      <c r="F8" s="3">
        <v>344</v>
      </c>
      <c r="G8" s="3">
        <v>100</v>
      </c>
      <c r="H8" s="68">
        <v>40</v>
      </c>
      <c r="I8" s="3">
        <v>26.7</v>
      </c>
      <c r="J8" s="3">
        <v>1</v>
      </c>
      <c r="K8" s="3">
        <v>0.02</v>
      </c>
      <c r="L8" s="3">
        <v>29</v>
      </c>
      <c r="M8" s="3">
        <v>3.5</v>
      </c>
      <c r="N8" s="3">
        <v>44.4</v>
      </c>
      <c r="O8" s="3">
        <v>2.2000000000000002</v>
      </c>
      <c r="P8" s="3">
        <v>36.1</v>
      </c>
      <c r="Q8" s="3">
        <v>6.1</v>
      </c>
      <c r="R8" s="3">
        <v>0.1</v>
      </c>
      <c r="S8" s="3">
        <v>0.05</v>
      </c>
      <c r="T8" s="3">
        <v>2E-3</v>
      </c>
      <c r="U8" s="3"/>
      <c r="V8" s="3">
        <v>0.1</v>
      </c>
      <c r="W8" s="3">
        <v>0.02</v>
      </c>
      <c r="X8" s="3">
        <v>0.05</v>
      </c>
      <c r="Y8" s="59">
        <v>0.13</v>
      </c>
    </row>
    <row r="9" spans="1:25" x14ac:dyDescent="0.2">
      <c r="A9" s="57">
        <v>45085</v>
      </c>
      <c r="B9" s="33" t="s">
        <v>113</v>
      </c>
      <c r="C9" s="33" t="s">
        <v>119</v>
      </c>
      <c r="D9" s="3">
        <v>7.42</v>
      </c>
      <c r="E9" s="3">
        <v>56.6</v>
      </c>
      <c r="F9" s="3">
        <v>450</v>
      </c>
      <c r="G9" s="3">
        <v>267</v>
      </c>
      <c r="H9" s="68">
        <v>20</v>
      </c>
      <c r="I9" s="3">
        <v>46.3</v>
      </c>
      <c r="J9" s="3">
        <v>1</v>
      </c>
      <c r="K9" s="3">
        <v>0.02</v>
      </c>
      <c r="L9" s="3">
        <v>53.1</v>
      </c>
      <c r="M9" s="3">
        <v>4.9000000000000004</v>
      </c>
      <c r="N9" s="3">
        <v>50.8</v>
      </c>
      <c r="O9" s="3">
        <v>0.75</v>
      </c>
      <c r="P9" s="3">
        <v>42.5</v>
      </c>
      <c r="Q9" s="3">
        <v>7.57</v>
      </c>
      <c r="R9" s="3">
        <v>0.1</v>
      </c>
      <c r="S9" s="3">
        <v>0.05</v>
      </c>
      <c r="T9" s="3">
        <v>2E-3</v>
      </c>
      <c r="U9" s="3"/>
      <c r="V9" s="3">
        <v>0.1</v>
      </c>
      <c r="W9" s="3">
        <v>0.02</v>
      </c>
      <c r="X9" s="3">
        <v>0.05</v>
      </c>
      <c r="Y9" s="59">
        <v>0.22</v>
      </c>
    </row>
    <row r="10" spans="1:25" x14ac:dyDescent="0.2">
      <c r="A10" s="57">
        <v>45118</v>
      </c>
      <c r="B10" s="33" t="s">
        <v>113</v>
      </c>
      <c r="C10" s="33" t="s">
        <v>120</v>
      </c>
      <c r="D10" s="3">
        <v>7.28</v>
      </c>
      <c r="E10" s="3">
        <v>109</v>
      </c>
      <c r="F10" s="3">
        <v>457</v>
      </c>
      <c r="G10" s="3">
        <v>203</v>
      </c>
      <c r="H10" s="68">
        <v>40</v>
      </c>
      <c r="I10" s="3">
        <v>43.9</v>
      </c>
      <c r="J10" s="3">
        <v>1</v>
      </c>
      <c r="K10" s="3">
        <v>0.02</v>
      </c>
      <c r="L10" s="3">
        <v>52.9</v>
      </c>
      <c r="M10" s="3">
        <v>4.2</v>
      </c>
      <c r="N10" s="3">
        <v>38.5</v>
      </c>
      <c r="O10" s="3">
        <v>0.5</v>
      </c>
      <c r="P10" s="3">
        <v>32.799999999999997</v>
      </c>
      <c r="Q10" s="3">
        <v>5.67</v>
      </c>
      <c r="R10" s="3">
        <v>0.12</v>
      </c>
      <c r="S10" s="3">
        <v>0.05</v>
      </c>
      <c r="T10" s="3">
        <v>2E-3</v>
      </c>
      <c r="U10" s="3"/>
      <c r="V10" s="3">
        <v>0.1</v>
      </c>
      <c r="W10" s="3">
        <v>0.02</v>
      </c>
      <c r="X10" s="3">
        <v>0.05</v>
      </c>
      <c r="Y10" s="59" t="s">
        <v>125</v>
      </c>
    </row>
    <row r="11" spans="1:25" x14ac:dyDescent="0.2">
      <c r="A11" s="57">
        <v>45181</v>
      </c>
      <c r="B11" s="33" t="s">
        <v>113</v>
      </c>
      <c r="C11" s="33" t="s">
        <v>121</v>
      </c>
      <c r="D11" s="3">
        <v>8.57</v>
      </c>
      <c r="E11" s="3">
        <v>43.2</v>
      </c>
      <c r="F11" s="3">
        <v>305</v>
      </c>
      <c r="G11" s="3">
        <v>209</v>
      </c>
      <c r="H11" s="68">
        <v>20</v>
      </c>
      <c r="I11" s="3">
        <v>35.200000000000003</v>
      </c>
      <c r="J11" s="3">
        <v>1</v>
      </c>
      <c r="K11" s="3">
        <v>0.03</v>
      </c>
      <c r="L11" s="3">
        <v>36.4</v>
      </c>
      <c r="M11" s="3">
        <v>1.9</v>
      </c>
      <c r="N11" s="3">
        <v>23.5</v>
      </c>
      <c r="O11" s="3">
        <v>0.5</v>
      </c>
      <c r="P11" s="3">
        <v>18.7</v>
      </c>
      <c r="Q11" s="3">
        <v>4.78</v>
      </c>
      <c r="R11" s="3">
        <v>0.1</v>
      </c>
      <c r="S11" s="3">
        <v>0.05</v>
      </c>
      <c r="T11" s="3">
        <v>2E-3</v>
      </c>
      <c r="U11" s="3"/>
      <c r="V11" s="3">
        <v>0.1</v>
      </c>
      <c r="W11" s="3">
        <v>0.02</v>
      </c>
      <c r="X11" s="3">
        <v>0.05</v>
      </c>
      <c r="Y11" s="59">
        <v>0.17</v>
      </c>
    </row>
    <row r="12" spans="1:25" x14ac:dyDescent="0.2">
      <c r="A12" s="57">
        <v>45211</v>
      </c>
      <c r="B12" s="33" t="s">
        <v>113</v>
      </c>
      <c r="C12" s="33" t="s">
        <v>122</v>
      </c>
      <c r="D12" s="3">
        <v>7.57</v>
      </c>
      <c r="E12" s="3">
        <v>52.8</v>
      </c>
      <c r="F12" s="3">
        <v>233</v>
      </c>
      <c r="G12" s="3">
        <v>131</v>
      </c>
      <c r="H12" s="68">
        <v>20</v>
      </c>
      <c r="I12" s="3">
        <v>36.799999999999997</v>
      </c>
      <c r="J12" s="3">
        <v>1</v>
      </c>
      <c r="K12" s="3">
        <v>0.02</v>
      </c>
      <c r="L12" s="3">
        <v>34.700000000000003</v>
      </c>
      <c r="M12" s="3">
        <v>5</v>
      </c>
      <c r="N12" s="3">
        <v>18.399999999999999</v>
      </c>
      <c r="O12" s="3">
        <v>0.88</v>
      </c>
      <c r="P12" s="3">
        <v>15</v>
      </c>
      <c r="Q12" s="3">
        <v>2.52</v>
      </c>
      <c r="R12" s="3">
        <v>0.1</v>
      </c>
      <c r="S12" s="3">
        <v>0.05</v>
      </c>
      <c r="T12" s="3">
        <v>2E-3</v>
      </c>
      <c r="U12" s="3"/>
      <c r="V12" s="3">
        <v>0.1</v>
      </c>
      <c r="W12" s="3">
        <v>0.02</v>
      </c>
      <c r="X12" s="3">
        <v>0.05</v>
      </c>
      <c r="Y12" s="59">
        <v>0.09</v>
      </c>
    </row>
    <row r="13" spans="1:25" x14ac:dyDescent="0.2">
      <c r="A13" s="57">
        <v>45245</v>
      </c>
      <c r="B13" s="33" t="s">
        <v>113</v>
      </c>
      <c r="C13" s="33" t="s">
        <v>123</v>
      </c>
      <c r="D13" s="3">
        <v>7.36</v>
      </c>
      <c r="E13" s="3">
        <v>88.6</v>
      </c>
      <c r="F13" s="3">
        <v>380</v>
      </c>
      <c r="G13" s="3">
        <v>225</v>
      </c>
      <c r="H13" s="68">
        <v>40</v>
      </c>
      <c r="I13" s="3">
        <v>44.8</v>
      </c>
      <c r="J13" s="3">
        <v>1</v>
      </c>
      <c r="K13" s="3">
        <v>0.04</v>
      </c>
      <c r="L13" s="3">
        <v>42.3</v>
      </c>
      <c r="M13" s="3">
        <v>3.3</v>
      </c>
      <c r="N13" s="3">
        <v>35.4</v>
      </c>
      <c r="O13" s="3">
        <v>2.5</v>
      </c>
      <c r="P13" s="3">
        <v>27.7</v>
      </c>
      <c r="Q13" s="3">
        <v>5.22</v>
      </c>
      <c r="R13" s="3">
        <v>0.12</v>
      </c>
      <c r="S13" s="3">
        <v>0.05</v>
      </c>
      <c r="T13" s="3">
        <v>2E-3</v>
      </c>
      <c r="U13" s="3"/>
      <c r="V13" s="3">
        <v>0.1</v>
      </c>
      <c r="W13" s="3">
        <v>0.02</v>
      </c>
      <c r="X13" s="3">
        <v>0.16</v>
      </c>
      <c r="Y13" s="59">
        <v>0.12</v>
      </c>
    </row>
    <row r="14" spans="1:25" x14ac:dyDescent="0.2">
      <c r="A14" s="57">
        <v>45274</v>
      </c>
      <c r="B14" s="33" t="s">
        <v>113</v>
      </c>
      <c r="C14" s="33" t="s">
        <v>124</v>
      </c>
      <c r="D14" s="3">
        <v>7.46</v>
      </c>
      <c r="E14" s="3">
        <v>50.6</v>
      </c>
      <c r="F14" s="3">
        <v>183</v>
      </c>
      <c r="G14" s="3">
        <v>85</v>
      </c>
      <c r="H14" s="68">
        <v>20</v>
      </c>
      <c r="I14" s="3">
        <v>27.1</v>
      </c>
      <c r="J14" s="3">
        <v>1</v>
      </c>
      <c r="K14" s="3">
        <v>0.19</v>
      </c>
      <c r="L14" s="3">
        <v>28.4</v>
      </c>
      <c r="M14" s="3">
        <v>2.2999999999999998</v>
      </c>
      <c r="N14" s="3">
        <v>22.4</v>
      </c>
      <c r="O14" s="3">
        <v>1.2</v>
      </c>
      <c r="P14" s="3">
        <v>19.5</v>
      </c>
      <c r="Q14" s="3">
        <v>1.7</v>
      </c>
      <c r="R14" s="3">
        <v>0.1</v>
      </c>
      <c r="S14" s="3">
        <v>0.05</v>
      </c>
      <c r="T14" s="3">
        <v>2E-3</v>
      </c>
      <c r="U14" s="3"/>
      <c r="V14" s="3">
        <v>0.1</v>
      </c>
      <c r="W14" s="3">
        <v>0.02</v>
      </c>
      <c r="X14" s="3">
        <v>0.05</v>
      </c>
      <c r="Y14" s="59">
        <v>7.0000000000000007E-2</v>
      </c>
    </row>
    <row r="15" spans="1:25" x14ac:dyDescent="0.2">
      <c r="A15" s="57"/>
      <c r="B15" s="33"/>
      <c r="C15" s="3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59"/>
    </row>
    <row r="16" spans="1:25" x14ac:dyDescent="0.2">
      <c r="A16" s="57">
        <v>45301</v>
      </c>
      <c r="B16" s="33" t="s">
        <v>113</v>
      </c>
      <c r="C16" s="33" t="s">
        <v>144</v>
      </c>
      <c r="D16" s="3">
        <v>7.76</v>
      </c>
      <c r="E16" s="3">
        <v>104</v>
      </c>
      <c r="F16" s="3">
        <v>304</v>
      </c>
      <c r="G16" s="3">
        <v>150</v>
      </c>
      <c r="H16" s="3">
        <v>10</v>
      </c>
      <c r="I16" s="3">
        <v>15.1</v>
      </c>
      <c r="J16" s="72">
        <v>1</v>
      </c>
      <c r="K16" s="72">
        <v>0.02</v>
      </c>
      <c r="L16" s="3">
        <v>29.4</v>
      </c>
      <c r="M16" s="3">
        <v>5.2</v>
      </c>
      <c r="N16" s="3">
        <v>29.1</v>
      </c>
      <c r="O16" s="3">
        <v>0.8</v>
      </c>
      <c r="P16" s="3">
        <v>26</v>
      </c>
      <c r="Q16" s="3">
        <v>2.31</v>
      </c>
      <c r="R16" s="72">
        <v>0.1</v>
      </c>
      <c r="S16" s="72">
        <v>0.05</v>
      </c>
      <c r="T16" s="72">
        <v>2E-3</v>
      </c>
      <c r="U16" s="72">
        <v>5.0000000000000001E-3</v>
      </c>
      <c r="V16" s="72">
        <v>0.1</v>
      </c>
      <c r="W16" s="72">
        <v>0.02</v>
      </c>
      <c r="X16" s="72">
        <v>0.05</v>
      </c>
      <c r="Y16" s="59">
        <v>0.19</v>
      </c>
    </row>
    <row r="17" spans="1:25" x14ac:dyDescent="0.2">
      <c r="A17" s="57">
        <v>45327</v>
      </c>
      <c r="B17" s="33" t="s">
        <v>113</v>
      </c>
      <c r="C17" s="33" t="s">
        <v>146</v>
      </c>
      <c r="D17" s="3">
        <v>7.42</v>
      </c>
      <c r="E17" s="3">
        <v>70</v>
      </c>
      <c r="F17" s="3">
        <v>287</v>
      </c>
      <c r="G17" s="3">
        <v>114</v>
      </c>
      <c r="H17" s="3">
        <v>40</v>
      </c>
      <c r="I17" s="3">
        <v>24.8</v>
      </c>
      <c r="J17" s="72">
        <v>1</v>
      </c>
      <c r="K17" s="3">
        <v>0.27</v>
      </c>
      <c r="L17" s="3">
        <v>29.4</v>
      </c>
      <c r="M17" s="3">
        <v>4</v>
      </c>
      <c r="N17" s="3">
        <v>34.299999999999997</v>
      </c>
      <c r="O17" s="3">
        <v>0.89</v>
      </c>
      <c r="P17" s="3">
        <v>29.9</v>
      </c>
      <c r="Q17" s="3">
        <v>3.51</v>
      </c>
      <c r="R17" s="72">
        <v>0.1</v>
      </c>
      <c r="S17" s="72">
        <v>0.05</v>
      </c>
      <c r="T17" s="72">
        <v>2E-3</v>
      </c>
      <c r="U17" s="72">
        <v>5.0000000000000001E-3</v>
      </c>
      <c r="V17" s="72">
        <v>0.1</v>
      </c>
      <c r="W17" s="72">
        <v>0.02</v>
      </c>
      <c r="X17" s="72">
        <v>0.05</v>
      </c>
      <c r="Y17" s="59">
        <v>0.06</v>
      </c>
    </row>
    <row r="18" spans="1:25" x14ac:dyDescent="0.2">
      <c r="A18" s="57">
        <v>45355</v>
      </c>
      <c r="B18" s="33" t="s">
        <v>113</v>
      </c>
      <c r="C18" s="33" t="s">
        <v>148</v>
      </c>
      <c r="D18" s="3">
        <v>7.24</v>
      </c>
      <c r="E18" s="3">
        <v>123</v>
      </c>
      <c r="F18" s="3">
        <v>122</v>
      </c>
      <c r="G18" s="3">
        <v>35</v>
      </c>
      <c r="H18" s="3">
        <v>10</v>
      </c>
      <c r="I18" s="3">
        <v>4.66</v>
      </c>
      <c r="J18" s="72">
        <v>1</v>
      </c>
      <c r="K18" s="3">
        <v>0.05</v>
      </c>
      <c r="L18" s="3">
        <v>10.6</v>
      </c>
      <c r="M18" s="3">
        <v>0.84</v>
      </c>
      <c r="N18" s="3">
        <v>4.9000000000000004</v>
      </c>
      <c r="O18" s="3">
        <v>0.5</v>
      </c>
      <c r="P18" s="3">
        <v>4.0999999999999996</v>
      </c>
      <c r="Q18" s="3">
        <v>0.84</v>
      </c>
      <c r="R18" s="72">
        <v>0.1</v>
      </c>
      <c r="S18" s="72">
        <v>0.05</v>
      </c>
      <c r="T18" s="72">
        <v>2E-3</v>
      </c>
      <c r="U18" s="72">
        <v>5.0000000000000001E-3</v>
      </c>
      <c r="V18" s="72">
        <v>0.1</v>
      </c>
      <c r="W18" s="72">
        <v>0.02</v>
      </c>
      <c r="X18" s="72">
        <v>0.05</v>
      </c>
      <c r="Y18" s="59">
        <v>0.11</v>
      </c>
    </row>
    <row r="19" spans="1:25" x14ac:dyDescent="0.2">
      <c r="A19" s="57">
        <v>45385</v>
      </c>
      <c r="B19" s="33" t="s">
        <v>113</v>
      </c>
      <c r="C19" s="33" t="s">
        <v>150</v>
      </c>
      <c r="D19" s="3">
        <v>7.95</v>
      </c>
      <c r="E19" s="3">
        <v>106</v>
      </c>
      <c r="F19" s="3">
        <v>429</v>
      </c>
      <c r="G19" s="3">
        <v>232</v>
      </c>
      <c r="H19" s="3">
        <v>20</v>
      </c>
      <c r="I19" s="3">
        <v>36.700000000000003</v>
      </c>
      <c r="J19" s="72">
        <v>1</v>
      </c>
      <c r="K19" s="72">
        <v>0.02</v>
      </c>
      <c r="L19" s="3">
        <v>51.4</v>
      </c>
      <c r="M19" s="3">
        <v>3.8</v>
      </c>
      <c r="N19" s="3">
        <v>50</v>
      </c>
      <c r="O19" s="3">
        <v>1.31</v>
      </c>
      <c r="P19" s="3">
        <v>42.6</v>
      </c>
      <c r="Q19" s="3">
        <v>6.07</v>
      </c>
      <c r="R19" s="72">
        <v>0.1</v>
      </c>
      <c r="S19" s="72">
        <v>0.05</v>
      </c>
      <c r="T19" s="72">
        <v>2E-3</v>
      </c>
      <c r="U19" s="72">
        <v>5.0000000000000001E-3</v>
      </c>
      <c r="V19" s="72">
        <v>0.1</v>
      </c>
      <c r="W19" s="72">
        <v>0.02</v>
      </c>
      <c r="X19" s="72">
        <v>0.05</v>
      </c>
      <c r="Y19" s="59">
        <v>0.24</v>
      </c>
    </row>
    <row r="20" spans="1:25" x14ac:dyDescent="0.2">
      <c r="A20" s="57">
        <v>45418</v>
      </c>
      <c r="B20" s="33" t="s">
        <v>113</v>
      </c>
      <c r="C20" s="33" t="s">
        <v>152</v>
      </c>
      <c r="D20" s="3">
        <v>7.9</v>
      </c>
      <c r="E20" s="3">
        <v>82.2</v>
      </c>
      <c r="F20" s="3">
        <v>319</v>
      </c>
      <c r="G20" s="3">
        <v>157</v>
      </c>
      <c r="H20" s="3">
        <v>40</v>
      </c>
      <c r="I20" s="3">
        <v>1.2</v>
      </c>
      <c r="J20" s="72">
        <v>1</v>
      </c>
      <c r="K20" s="72">
        <v>0.02</v>
      </c>
      <c r="L20" s="3">
        <v>60</v>
      </c>
      <c r="M20" s="3">
        <v>2.4</v>
      </c>
      <c r="N20" s="3">
        <v>22.4</v>
      </c>
      <c r="O20" s="3">
        <v>1.1000000000000001</v>
      </c>
      <c r="P20" s="3">
        <v>18.600000000000001</v>
      </c>
      <c r="Q20" s="3">
        <v>2.68</v>
      </c>
      <c r="R20" s="3">
        <v>0.13</v>
      </c>
      <c r="S20" s="72">
        <v>0.05</v>
      </c>
      <c r="T20" s="72">
        <v>2E-3</v>
      </c>
      <c r="U20" s="72">
        <v>5.0000000000000001E-3</v>
      </c>
      <c r="V20" s="72">
        <v>0.1</v>
      </c>
      <c r="W20" s="72">
        <v>0.02</v>
      </c>
      <c r="X20" s="72">
        <v>0.05</v>
      </c>
      <c r="Y20" s="59">
        <v>0.21</v>
      </c>
    </row>
    <row r="21" spans="1:25" x14ac:dyDescent="0.2">
      <c r="A21" s="57">
        <v>45449</v>
      </c>
      <c r="B21" s="33" t="s">
        <v>113</v>
      </c>
      <c r="C21" s="33" t="s">
        <v>154</v>
      </c>
      <c r="D21" s="3">
        <v>6.84</v>
      </c>
      <c r="E21" s="3">
        <v>63.6</v>
      </c>
      <c r="F21" s="3">
        <v>288</v>
      </c>
      <c r="G21" s="3">
        <v>131</v>
      </c>
      <c r="H21" s="3">
        <v>20</v>
      </c>
      <c r="I21" s="3">
        <v>29.5</v>
      </c>
      <c r="J21" s="72">
        <v>1</v>
      </c>
      <c r="K21" s="72">
        <v>0.02</v>
      </c>
      <c r="L21" s="3">
        <v>33</v>
      </c>
      <c r="M21" s="3">
        <v>4.3</v>
      </c>
      <c r="N21" s="3">
        <v>21.1</v>
      </c>
      <c r="O21" s="3">
        <v>0.68</v>
      </c>
      <c r="P21" s="3">
        <v>16.7</v>
      </c>
      <c r="Q21" s="3">
        <v>3.7</v>
      </c>
      <c r="R21" s="72">
        <v>0.1</v>
      </c>
      <c r="S21" s="72">
        <v>0.05</v>
      </c>
      <c r="T21" s="72">
        <v>2E-3</v>
      </c>
      <c r="U21" s="72">
        <v>5.0000000000000001E-3</v>
      </c>
      <c r="V21" s="72">
        <v>0.1</v>
      </c>
      <c r="W21" s="72">
        <v>0.02</v>
      </c>
      <c r="X21" s="72">
        <v>0.05</v>
      </c>
      <c r="Y21" s="59">
        <v>0.16</v>
      </c>
    </row>
    <row r="22" spans="1:25" x14ac:dyDescent="0.2">
      <c r="A22" s="57">
        <v>45475</v>
      </c>
      <c r="B22" s="33" t="s">
        <v>113</v>
      </c>
      <c r="C22" s="33" t="s">
        <v>156</v>
      </c>
      <c r="D22" s="3">
        <v>7.23</v>
      </c>
      <c r="E22" s="3">
        <v>54.1</v>
      </c>
      <c r="F22" s="3">
        <v>396</v>
      </c>
      <c r="G22" s="3">
        <v>215</v>
      </c>
      <c r="H22" s="3">
        <v>40</v>
      </c>
      <c r="I22" s="3">
        <v>41.2</v>
      </c>
      <c r="J22" s="72">
        <v>1</v>
      </c>
      <c r="K22" s="72">
        <v>0.02</v>
      </c>
      <c r="L22" s="3">
        <v>50.9</v>
      </c>
      <c r="M22" s="3">
        <v>4.3</v>
      </c>
      <c r="N22" s="3">
        <v>39</v>
      </c>
      <c r="O22" s="3">
        <v>0.5</v>
      </c>
      <c r="P22" s="3">
        <v>34.6</v>
      </c>
      <c r="Q22" s="3">
        <v>4.4000000000000004</v>
      </c>
      <c r="R22" s="72">
        <v>0.1</v>
      </c>
      <c r="S22" s="72">
        <v>0.05</v>
      </c>
      <c r="T22" s="72">
        <v>2E-3</v>
      </c>
      <c r="U22" s="72">
        <v>5.0000000000000001E-3</v>
      </c>
      <c r="V22" s="72">
        <v>0.1</v>
      </c>
      <c r="W22" s="72">
        <v>0.02</v>
      </c>
      <c r="X22" s="72">
        <v>0.05</v>
      </c>
      <c r="Y22" s="59">
        <v>0.14000000000000001</v>
      </c>
    </row>
    <row r="23" spans="1:25" x14ac:dyDescent="0.2">
      <c r="A23" s="57">
        <v>45505</v>
      </c>
      <c r="B23" s="33" t="s">
        <v>113</v>
      </c>
      <c r="C23" s="33" t="s">
        <v>158</v>
      </c>
      <c r="D23" s="3">
        <v>8.0299999999999994</v>
      </c>
      <c r="E23" s="3">
        <v>58</v>
      </c>
      <c r="F23" s="3">
        <v>276</v>
      </c>
      <c r="G23" s="3">
        <v>122</v>
      </c>
      <c r="H23" s="3">
        <v>40</v>
      </c>
      <c r="I23" s="3">
        <v>67.099999999999994</v>
      </c>
      <c r="J23" s="72">
        <v>1</v>
      </c>
      <c r="K23" s="72">
        <v>0.02</v>
      </c>
      <c r="L23" s="3">
        <v>70.5</v>
      </c>
      <c r="M23" s="3">
        <v>2.7</v>
      </c>
      <c r="N23" s="3">
        <v>15.9</v>
      </c>
      <c r="O23" s="3">
        <v>0.78</v>
      </c>
      <c r="P23" s="3">
        <v>13.1</v>
      </c>
      <c r="Q23" s="3">
        <v>2.0299999999999998</v>
      </c>
      <c r="R23" s="72">
        <v>0.1</v>
      </c>
      <c r="S23" s="72">
        <v>0.05</v>
      </c>
      <c r="T23" s="72">
        <v>2E-3</v>
      </c>
      <c r="U23" s="72">
        <v>5.0000000000000001E-3</v>
      </c>
      <c r="V23" s="72">
        <v>0.1</v>
      </c>
      <c r="W23" s="72">
        <v>0.02</v>
      </c>
      <c r="X23" s="72">
        <v>0.05</v>
      </c>
      <c r="Y23" s="59">
        <v>0.13</v>
      </c>
    </row>
    <row r="24" spans="1:25" x14ac:dyDescent="0.2">
      <c r="A24" s="57">
        <v>45538</v>
      </c>
      <c r="B24" s="33" t="s">
        <v>113</v>
      </c>
      <c r="C24" s="33" t="s">
        <v>160</v>
      </c>
      <c r="D24" s="3">
        <v>7.11</v>
      </c>
      <c r="E24" s="3">
        <v>61.8</v>
      </c>
      <c r="F24" s="3">
        <v>230</v>
      </c>
      <c r="G24" s="3">
        <v>165</v>
      </c>
      <c r="H24" s="3">
        <v>20</v>
      </c>
      <c r="I24" s="3">
        <v>16.5</v>
      </c>
      <c r="J24" s="72">
        <v>1</v>
      </c>
      <c r="K24" s="72">
        <v>0.02</v>
      </c>
      <c r="L24" s="3">
        <v>21.7</v>
      </c>
      <c r="M24" s="3">
        <v>0.99</v>
      </c>
      <c r="N24" s="3">
        <v>35.6</v>
      </c>
      <c r="O24" s="3">
        <v>0.55000000000000004</v>
      </c>
      <c r="P24" s="3">
        <v>33.200000000000003</v>
      </c>
      <c r="Q24" s="3">
        <v>1.81</v>
      </c>
      <c r="R24" s="72">
        <v>0.1</v>
      </c>
      <c r="S24" s="72">
        <v>0.05</v>
      </c>
      <c r="T24" s="72">
        <v>2E-3</v>
      </c>
      <c r="U24" s="72">
        <v>5.0000000000000001E-3</v>
      </c>
      <c r="V24" s="72">
        <v>0.1</v>
      </c>
      <c r="W24" s="72">
        <v>0.02</v>
      </c>
      <c r="X24" s="72">
        <v>0.05</v>
      </c>
      <c r="Y24" s="59">
        <v>0.19</v>
      </c>
    </row>
    <row r="25" spans="1:25" x14ac:dyDescent="0.2">
      <c r="A25" s="57">
        <v>45568</v>
      </c>
      <c r="B25" s="33" t="s">
        <v>113</v>
      </c>
      <c r="C25" s="33" t="s">
        <v>162</v>
      </c>
      <c r="D25" s="3">
        <v>7.7</v>
      </c>
      <c r="E25" s="3">
        <v>63.4</v>
      </c>
      <c r="F25" s="3">
        <v>320</v>
      </c>
      <c r="G25" s="3">
        <v>351</v>
      </c>
      <c r="H25" s="3">
        <v>40</v>
      </c>
      <c r="I25" s="3">
        <v>27</v>
      </c>
      <c r="J25" s="72">
        <v>1</v>
      </c>
      <c r="K25" s="72">
        <v>0.02</v>
      </c>
      <c r="L25" s="3">
        <v>32.700000000000003</v>
      </c>
      <c r="M25" s="3">
        <v>2.5</v>
      </c>
      <c r="N25" s="3">
        <v>61.1</v>
      </c>
      <c r="O25" s="3">
        <v>0.51</v>
      </c>
      <c r="P25" s="3">
        <v>58.6</v>
      </c>
      <c r="Q25" s="3">
        <v>2</v>
      </c>
      <c r="R25" s="72">
        <v>0.1</v>
      </c>
      <c r="S25" s="72">
        <v>0.05</v>
      </c>
      <c r="T25" s="72">
        <v>2E-3</v>
      </c>
      <c r="U25" s="72">
        <v>5.0000000000000001E-3</v>
      </c>
      <c r="V25" s="72">
        <v>0.1</v>
      </c>
      <c r="W25" s="72">
        <v>0.02</v>
      </c>
      <c r="X25" s="72">
        <v>0.05</v>
      </c>
      <c r="Y25" s="59">
        <v>0.19</v>
      </c>
    </row>
    <row r="26" spans="1:25" x14ac:dyDescent="0.2">
      <c r="A26" s="57">
        <v>45601</v>
      </c>
      <c r="B26" s="33" t="s">
        <v>113</v>
      </c>
      <c r="C26" s="33" t="s">
        <v>164</v>
      </c>
      <c r="D26" s="3">
        <v>7.68</v>
      </c>
      <c r="E26" s="3">
        <v>47.8</v>
      </c>
      <c r="F26" s="3">
        <v>421</v>
      </c>
      <c r="G26" s="3">
        <v>225</v>
      </c>
      <c r="H26" s="3">
        <v>40</v>
      </c>
      <c r="I26" s="3">
        <v>34.299999999999997</v>
      </c>
      <c r="J26" s="72">
        <v>1</v>
      </c>
      <c r="K26" s="72">
        <v>0.02</v>
      </c>
      <c r="L26" s="3">
        <v>49</v>
      </c>
      <c r="M26" s="3">
        <v>2.6</v>
      </c>
      <c r="N26" s="3">
        <v>64.400000000000006</v>
      </c>
      <c r="O26" s="3">
        <v>0.6</v>
      </c>
      <c r="P26" s="3">
        <v>59</v>
      </c>
      <c r="Q26" s="3">
        <v>4.83</v>
      </c>
      <c r="R26" s="3">
        <v>0.12</v>
      </c>
      <c r="S26" s="72">
        <v>0.05</v>
      </c>
      <c r="T26" s="72">
        <v>2E-3</v>
      </c>
      <c r="U26" s="72">
        <v>5.0000000000000001E-3</v>
      </c>
      <c r="V26" s="72">
        <v>0.1</v>
      </c>
      <c r="W26" s="72">
        <v>0.02</v>
      </c>
      <c r="X26" s="72">
        <v>0.05</v>
      </c>
      <c r="Y26" s="59">
        <v>0.24</v>
      </c>
    </row>
    <row r="27" spans="1:25" x14ac:dyDescent="0.2">
      <c r="A27" s="60">
        <v>45629</v>
      </c>
      <c r="B27" s="61" t="s">
        <v>113</v>
      </c>
      <c r="C27" s="61" t="s">
        <v>166</v>
      </c>
      <c r="D27" s="62">
        <v>7.45</v>
      </c>
      <c r="E27" s="62">
        <v>64.599999999999994</v>
      </c>
      <c r="F27" s="62">
        <v>355</v>
      </c>
      <c r="G27" s="62">
        <v>151</v>
      </c>
      <c r="H27" s="62">
        <v>20</v>
      </c>
      <c r="I27" s="62">
        <v>36.6</v>
      </c>
      <c r="J27" s="73">
        <v>1</v>
      </c>
      <c r="K27" s="73">
        <v>0.02</v>
      </c>
      <c r="L27" s="62">
        <v>43.6</v>
      </c>
      <c r="M27" s="62">
        <v>3.9</v>
      </c>
      <c r="N27" s="62">
        <v>58.5</v>
      </c>
      <c r="O27" s="62">
        <v>0.65</v>
      </c>
      <c r="P27" s="62">
        <v>55.1</v>
      </c>
      <c r="Q27" s="62">
        <v>2.78</v>
      </c>
      <c r="R27" s="73">
        <v>0.1</v>
      </c>
      <c r="S27" s="73">
        <v>0.05</v>
      </c>
      <c r="T27" s="73">
        <v>2E-3</v>
      </c>
      <c r="U27" s="73">
        <v>5.0000000000000001E-3</v>
      </c>
      <c r="V27" s="73">
        <v>0.1</v>
      </c>
      <c r="W27" s="73">
        <v>0.02</v>
      </c>
      <c r="X27" s="73">
        <v>0.05</v>
      </c>
      <c r="Y27" s="63">
        <v>0.22</v>
      </c>
    </row>
    <row r="28" spans="1:25" x14ac:dyDescent="0.2">
      <c r="A28" s="8">
        <v>45670</v>
      </c>
      <c r="B28" s="33" t="s">
        <v>113</v>
      </c>
      <c r="C28" s="33" t="s">
        <v>170</v>
      </c>
      <c r="D28" s="3">
        <v>7.46</v>
      </c>
      <c r="E28" s="3">
        <v>42.8</v>
      </c>
      <c r="F28" s="3">
        <v>153</v>
      </c>
      <c r="G28" s="3">
        <v>65</v>
      </c>
      <c r="H28" s="3">
        <v>40</v>
      </c>
      <c r="I28" s="3">
        <v>23.2</v>
      </c>
      <c r="J28" s="72">
        <v>1</v>
      </c>
      <c r="K28" s="75" t="s">
        <v>171</v>
      </c>
      <c r="L28" s="3">
        <v>22.1</v>
      </c>
      <c r="M28" s="3">
        <v>2.5</v>
      </c>
      <c r="N28" s="3">
        <v>23.2</v>
      </c>
      <c r="O28" s="72">
        <v>0.5</v>
      </c>
      <c r="P28" s="3">
        <v>21</v>
      </c>
      <c r="Q28" s="3">
        <v>2.15</v>
      </c>
      <c r="R28" s="72">
        <v>0.1</v>
      </c>
      <c r="S28" s="72">
        <v>0.05</v>
      </c>
      <c r="T28" s="72">
        <v>2E-3</v>
      </c>
      <c r="U28" s="72" t="s">
        <v>172</v>
      </c>
      <c r="V28" s="72">
        <v>0.1</v>
      </c>
      <c r="W28" s="78" t="s">
        <v>171</v>
      </c>
      <c r="X28" s="78" t="s">
        <v>173</v>
      </c>
      <c r="Y28" s="2">
        <v>0.05</v>
      </c>
    </row>
    <row r="29" spans="1:25" x14ac:dyDescent="0.2">
      <c r="A29" s="8">
        <v>45692</v>
      </c>
      <c r="B29" s="33" t="s">
        <v>113</v>
      </c>
      <c r="C29" s="33" t="s">
        <v>175</v>
      </c>
      <c r="D29" s="3">
        <v>7.83</v>
      </c>
      <c r="E29" s="3">
        <v>93.5</v>
      </c>
      <c r="F29" s="3">
        <v>320</v>
      </c>
      <c r="G29" s="3">
        <v>125</v>
      </c>
      <c r="H29" s="3">
        <v>40</v>
      </c>
      <c r="I29" s="3">
        <v>21</v>
      </c>
      <c r="J29" s="72">
        <v>1</v>
      </c>
      <c r="K29" s="72">
        <v>0.02</v>
      </c>
      <c r="L29" s="3">
        <v>29.3</v>
      </c>
      <c r="M29" s="3">
        <v>2.2000000000000002</v>
      </c>
      <c r="N29" s="3">
        <v>46.4</v>
      </c>
      <c r="O29" s="3">
        <v>0.79</v>
      </c>
      <c r="P29" s="3">
        <v>37.5</v>
      </c>
      <c r="Q29" s="3">
        <v>8.11</v>
      </c>
      <c r="R29" s="72">
        <v>0.1</v>
      </c>
      <c r="S29" s="72">
        <v>0.05</v>
      </c>
      <c r="T29" s="72">
        <v>2E-3</v>
      </c>
      <c r="U29" s="72">
        <v>5.0000000000000001E-3</v>
      </c>
      <c r="V29" s="72">
        <v>0.1</v>
      </c>
      <c r="W29" s="78">
        <v>0.02</v>
      </c>
      <c r="X29" s="78">
        <v>0.05</v>
      </c>
      <c r="Y29" s="2">
        <v>0.14000000000000001</v>
      </c>
    </row>
    <row r="30" spans="1:25" x14ac:dyDescent="0.2">
      <c r="A30" s="8">
        <v>45721</v>
      </c>
      <c r="B30" s="33" t="s">
        <v>113</v>
      </c>
      <c r="C30" s="33" t="s">
        <v>177</v>
      </c>
      <c r="D30" s="3">
        <v>7.88</v>
      </c>
      <c r="E30" s="3">
        <v>74</v>
      </c>
      <c r="F30" s="3">
        <v>425</v>
      </c>
      <c r="G30" s="3">
        <v>235</v>
      </c>
      <c r="H30" s="3">
        <v>40</v>
      </c>
      <c r="I30" s="3">
        <v>37.6</v>
      </c>
      <c r="J30" s="72">
        <v>1</v>
      </c>
      <c r="K30" s="72">
        <v>0.02</v>
      </c>
      <c r="L30" s="3">
        <v>46.6</v>
      </c>
      <c r="M30" s="3">
        <v>7.3</v>
      </c>
      <c r="N30" s="3">
        <v>43.8</v>
      </c>
      <c r="O30" s="3">
        <v>0.56000000000000005</v>
      </c>
      <c r="P30" s="3">
        <v>38.1</v>
      </c>
      <c r="Q30" s="3">
        <v>5.15</v>
      </c>
      <c r="R30" s="72">
        <v>0.1</v>
      </c>
      <c r="S30" s="72">
        <v>0.05</v>
      </c>
      <c r="T30" s="72">
        <v>2E-3</v>
      </c>
      <c r="U30" s="72">
        <v>5.0000000000000001E-3</v>
      </c>
      <c r="V30" s="72">
        <v>0.1</v>
      </c>
      <c r="W30" s="78">
        <v>0.02</v>
      </c>
      <c r="X30" s="78">
        <v>0.05</v>
      </c>
      <c r="Y30" s="2">
        <v>0.2</v>
      </c>
    </row>
    <row r="31" spans="1:25" x14ac:dyDescent="0.2">
      <c r="A31" s="8">
        <v>45748</v>
      </c>
      <c r="B31" s="33" t="s">
        <v>113</v>
      </c>
      <c r="C31" s="33" t="s">
        <v>179</v>
      </c>
      <c r="D31" s="3">
        <v>8.0399999999999991</v>
      </c>
      <c r="E31" s="3">
        <v>74.8</v>
      </c>
      <c r="F31" s="3">
        <v>410</v>
      </c>
      <c r="G31" s="3">
        <v>206</v>
      </c>
      <c r="H31" s="3">
        <v>40</v>
      </c>
      <c r="I31" s="3">
        <v>42.3</v>
      </c>
      <c r="J31" s="72">
        <v>1</v>
      </c>
      <c r="K31" s="72">
        <v>0.02</v>
      </c>
      <c r="L31" s="3">
        <v>46.9</v>
      </c>
      <c r="M31" s="3">
        <v>4.8</v>
      </c>
      <c r="N31" s="3">
        <v>72.099999999999994</v>
      </c>
      <c r="O31" s="3">
        <v>0.54</v>
      </c>
      <c r="P31" s="3">
        <v>66.3</v>
      </c>
      <c r="Q31" s="3">
        <v>5.21</v>
      </c>
      <c r="R31" s="72">
        <v>0.1</v>
      </c>
      <c r="S31" s="72">
        <v>0.05</v>
      </c>
      <c r="T31" s="72">
        <v>2E-3</v>
      </c>
      <c r="U31" s="72">
        <v>5.0000000000000001E-3</v>
      </c>
      <c r="V31" s="72">
        <v>0.1</v>
      </c>
      <c r="W31" s="78">
        <v>0.02</v>
      </c>
      <c r="X31" s="78">
        <v>0.05</v>
      </c>
      <c r="Y31" s="2">
        <v>0.15</v>
      </c>
    </row>
    <row r="32" spans="1:25" ht="12" customHeight="1" x14ac:dyDescent="0.2">
      <c r="A32" s="8">
        <v>45783</v>
      </c>
      <c r="B32" s="33" t="s">
        <v>113</v>
      </c>
      <c r="C32" s="3" t="s">
        <v>181</v>
      </c>
      <c r="D32" s="3">
        <v>8.56</v>
      </c>
      <c r="E32" s="3">
        <v>75.599999999999994</v>
      </c>
      <c r="F32" s="3">
        <v>425</v>
      </c>
      <c r="G32" s="3">
        <v>244</v>
      </c>
      <c r="H32" s="3">
        <v>40</v>
      </c>
      <c r="I32" s="3">
        <v>20.8</v>
      </c>
      <c r="J32" s="72">
        <v>1</v>
      </c>
      <c r="K32" s="72">
        <v>0.02</v>
      </c>
      <c r="L32" s="3">
        <v>32.200000000000003</v>
      </c>
      <c r="M32" s="3">
        <v>2.7</v>
      </c>
      <c r="N32" s="3">
        <v>48.5</v>
      </c>
      <c r="O32" s="3">
        <v>0.56000000000000005</v>
      </c>
      <c r="P32" s="3">
        <v>42.9</v>
      </c>
      <c r="Q32" s="3">
        <v>5.0199999999999996</v>
      </c>
      <c r="R32" s="72">
        <v>0.1</v>
      </c>
      <c r="S32" s="72">
        <v>0.05</v>
      </c>
      <c r="T32" s="72">
        <v>2E-3</v>
      </c>
      <c r="U32" s="72">
        <v>5.0000000000000001E-3</v>
      </c>
      <c r="V32" s="72">
        <v>0.1</v>
      </c>
      <c r="W32" s="78">
        <v>0.02</v>
      </c>
      <c r="X32" s="78">
        <v>0.05</v>
      </c>
      <c r="Y32" s="2">
        <v>0.12</v>
      </c>
    </row>
    <row r="33" spans="1:25" x14ac:dyDescent="0.2">
      <c r="A33" s="8">
        <v>45813</v>
      </c>
      <c r="B33" s="33" t="s">
        <v>113</v>
      </c>
      <c r="C33" s="3" t="s">
        <v>183</v>
      </c>
      <c r="D33" s="3">
        <v>7.2</v>
      </c>
      <c r="E33" s="3">
        <v>69</v>
      </c>
      <c r="F33" s="3">
        <v>271</v>
      </c>
      <c r="G33" s="3">
        <v>143</v>
      </c>
      <c r="H33" s="3">
        <v>40</v>
      </c>
      <c r="I33" s="3">
        <v>41.2</v>
      </c>
      <c r="J33" s="72">
        <v>1</v>
      </c>
      <c r="K33" s="72">
        <v>0.02</v>
      </c>
      <c r="L33" s="3">
        <v>45.1</v>
      </c>
      <c r="M33" s="3">
        <v>4.7</v>
      </c>
      <c r="N33" s="3">
        <v>25.5</v>
      </c>
      <c r="O33" s="72">
        <v>0.5</v>
      </c>
      <c r="P33" s="3">
        <v>21.3</v>
      </c>
      <c r="Q33" s="3">
        <v>4.1500000000000004</v>
      </c>
      <c r="R33" s="72">
        <v>0.1</v>
      </c>
      <c r="S33" s="72">
        <v>0.05</v>
      </c>
      <c r="T33" s="72">
        <v>2E-3</v>
      </c>
      <c r="U33" s="72">
        <v>5.0000000000000001E-3</v>
      </c>
      <c r="V33" s="72">
        <v>0.1</v>
      </c>
      <c r="W33" s="78">
        <v>0.02</v>
      </c>
      <c r="X33" s="78">
        <v>0.05</v>
      </c>
      <c r="Y33" s="2">
        <v>0.22</v>
      </c>
    </row>
    <row r="34" spans="1:25" x14ac:dyDescent="0.2">
      <c r="A34" s="8">
        <v>45839</v>
      </c>
      <c r="B34" s="3" t="s">
        <v>113</v>
      </c>
      <c r="C34" s="3" t="s">
        <v>185</v>
      </c>
      <c r="D34" s="3">
        <v>8.25</v>
      </c>
      <c r="E34" s="3">
        <v>56.6</v>
      </c>
      <c r="F34" s="3">
        <v>309</v>
      </c>
      <c r="G34" s="3">
        <v>131</v>
      </c>
      <c r="H34" s="3">
        <v>40</v>
      </c>
      <c r="I34" s="3">
        <v>42.8</v>
      </c>
      <c r="J34" s="72">
        <v>1</v>
      </c>
      <c r="K34" s="72">
        <v>0.02</v>
      </c>
      <c r="L34" s="3">
        <v>40.9</v>
      </c>
      <c r="M34" s="3">
        <v>2.2000000000000002</v>
      </c>
      <c r="N34" s="3">
        <v>89.9</v>
      </c>
      <c r="O34" s="72">
        <v>0.5</v>
      </c>
      <c r="P34" s="3">
        <v>85.4</v>
      </c>
      <c r="Q34" s="3">
        <v>4.4800000000000004</v>
      </c>
      <c r="R34" s="72">
        <v>0.1</v>
      </c>
      <c r="S34" s="72">
        <v>0.05</v>
      </c>
      <c r="T34" s="72">
        <v>2E-3</v>
      </c>
      <c r="U34" s="72">
        <v>5.0000000000000001E-3</v>
      </c>
      <c r="V34" s="72">
        <v>0.1</v>
      </c>
      <c r="W34" s="78">
        <v>0.02</v>
      </c>
      <c r="X34" s="78">
        <v>0.05</v>
      </c>
      <c r="Y34" s="2">
        <v>0.08</v>
      </c>
    </row>
    <row r="35" spans="1:25" x14ac:dyDescent="0.2">
      <c r="A35" s="7">
        <v>45870</v>
      </c>
      <c r="B35" s="2" t="s">
        <v>113</v>
      </c>
      <c r="C35" s="2" t="s">
        <v>187</v>
      </c>
      <c r="D35" s="2">
        <v>9.5</v>
      </c>
      <c r="E35" s="2">
        <v>73.599999999999994</v>
      </c>
      <c r="F35" s="2">
        <v>139</v>
      </c>
      <c r="G35" s="2">
        <v>62</v>
      </c>
      <c r="H35" s="2">
        <v>20</v>
      </c>
      <c r="I35" s="2">
        <v>10.5</v>
      </c>
      <c r="J35" s="78">
        <v>1</v>
      </c>
      <c r="K35" s="78">
        <v>0.02</v>
      </c>
      <c r="L35" s="2">
        <v>19.7</v>
      </c>
      <c r="M35" s="2">
        <v>2</v>
      </c>
      <c r="N35" s="2">
        <v>4.3</v>
      </c>
      <c r="O35" s="78">
        <v>0.5</v>
      </c>
      <c r="P35" s="2">
        <v>3.3</v>
      </c>
      <c r="Q35" s="2">
        <v>0.96</v>
      </c>
      <c r="R35" s="78">
        <v>0.1</v>
      </c>
      <c r="S35" s="78">
        <v>0.05</v>
      </c>
      <c r="T35" s="78">
        <v>2E-3</v>
      </c>
      <c r="U35" s="78">
        <v>5.0000000000000001E-3</v>
      </c>
      <c r="V35" s="78">
        <v>0.1</v>
      </c>
      <c r="W35" s="78">
        <v>0.02</v>
      </c>
      <c r="X35" s="78">
        <v>0.05</v>
      </c>
      <c r="Y35" s="2">
        <v>0.1</v>
      </c>
    </row>
    <row r="36" spans="1:25" x14ac:dyDescent="0.2">
      <c r="A36" s="7">
        <v>45910</v>
      </c>
      <c r="B36" s="2" t="s">
        <v>113</v>
      </c>
      <c r="C36" s="2" t="s">
        <v>189</v>
      </c>
      <c r="D36" s="2">
        <v>8.1199999999999992</v>
      </c>
      <c r="E36" s="2">
        <v>59</v>
      </c>
      <c r="F36" s="2">
        <v>428</v>
      </c>
      <c r="G36" s="2">
        <v>151</v>
      </c>
      <c r="H36" s="2">
        <v>40</v>
      </c>
      <c r="I36" s="2">
        <v>35.6</v>
      </c>
      <c r="J36" s="78">
        <v>1</v>
      </c>
      <c r="K36" s="78">
        <v>0.02</v>
      </c>
      <c r="L36" s="2">
        <v>47.9</v>
      </c>
      <c r="M36" s="2">
        <v>5</v>
      </c>
      <c r="N36" s="2">
        <v>44.7</v>
      </c>
      <c r="O36" s="2">
        <v>0.69</v>
      </c>
      <c r="P36" s="2">
        <v>39.6</v>
      </c>
      <c r="Q36" s="2">
        <v>4.43</v>
      </c>
      <c r="R36" s="78">
        <v>0.1</v>
      </c>
      <c r="S36" s="78">
        <v>0.05</v>
      </c>
      <c r="T36" s="78">
        <v>2E-3</v>
      </c>
      <c r="U36" s="78">
        <v>5.0000000000000001E-3</v>
      </c>
      <c r="V36" s="78">
        <v>0.1</v>
      </c>
      <c r="W36" s="78">
        <v>0.02</v>
      </c>
      <c r="X36" s="78">
        <v>0.05</v>
      </c>
      <c r="Y36" s="2">
        <v>0.17</v>
      </c>
    </row>
    <row r="37" spans="1:25" x14ac:dyDescent="0.2">
      <c r="A37" s="7">
        <v>45931</v>
      </c>
      <c r="B37" s="2" t="s">
        <v>113</v>
      </c>
      <c r="C37" s="2" t="s">
        <v>191</v>
      </c>
      <c r="D37" s="2">
        <v>7.8</v>
      </c>
      <c r="E37" s="2">
        <v>62.4</v>
      </c>
      <c r="F37" s="2">
        <v>425</v>
      </c>
      <c r="G37" s="2">
        <v>190</v>
      </c>
      <c r="H37" s="2">
        <v>40</v>
      </c>
      <c r="I37" s="2">
        <v>38.200000000000003</v>
      </c>
      <c r="J37" s="78">
        <v>1</v>
      </c>
      <c r="K37" s="78">
        <v>0.02</v>
      </c>
      <c r="L37" s="2">
        <v>48.6</v>
      </c>
      <c r="M37" s="2">
        <v>3</v>
      </c>
      <c r="N37" s="2">
        <v>66.3</v>
      </c>
      <c r="O37" s="2">
        <v>1.06</v>
      </c>
      <c r="P37" s="2">
        <v>59.9</v>
      </c>
      <c r="Q37" s="2">
        <v>5.37</v>
      </c>
      <c r="R37" s="78">
        <v>0.1</v>
      </c>
      <c r="S37" s="78">
        <v>0.05</v>
      </c>
      <c r="T37" s="78">
        <v>2E-3</v>
      </c>
      <c r="U37" s="78">
        <v>5.0000000000000001E-3</v>
      </c>
      <c r="V37" s="78">
        <v>0.1</v>
      </c>
      <c r="W37" s="78">
        <v>0.02</v>
      </c>
      <c r="X37" s="78">
        <v>0.05</v>
      </c>
      <c r="Y37" s="2">
        <v>0.19</v>
      </c>
    </row>
    <row r="38" spans="1:25" x14ac:dyDescent="0.2">
      <c r="A38" s="7">
        <v>45965</v>
      </c>
      <c r="B38" s="2" t="s">
        <v>113</v>
      </c>
      <c r="C38" s="2" t="s">
        <v>193</v>
      </c>
      <c r="D38" s="2">
        <v>8.31</v>
      </c>
      <c r="E38" s="2">
        <v>34</v>
      </c>
      <c r="F38" s="2">
        <v>231</v>
      </c>
      <c r="G38" s="2">
        <v>104</v>
      </c>
      <c r="H38" s="2">
        <v>40</v>
      </c>
      <c r="I38" s="2">
        <v>20.7</v>
      </c>
      <c r="J38" s="78">
        <v>1</v>
      </c>
      <c r="K38" s="78">
        <v>0.02</v>
      </c>
      <c r="L38" s="2">
        <v>30.4</v>
      </c>
      <c r="M38" s="2">
        <v>2.37</v>
      </c>
      <c r="N38" s="2">
        <v>26.8</v>
      </c>
      <c r="O38" s="2">
        <v>0.7</v>
      </c>
      <c r="P38" s="2">
        <v>24.3</v>
      </c>
      <c r="Q38" s="2">
        <v>1.84</v>
      </c>
      <c r="R38" s="78">
        <v>0.1</v>
      </c>
      <c r="S38" s="78">
        <v>0.05</v>
      </c>
      <c r="T38" s="78">
        <v>2E-3</v>
      </c>
      <c r="U38" s="78">
        <v>5.0000000000000001E-3</v>
      </c>
      <c r="V38" s="78">
        <v>0.1</v>
      </c>
      <c r="W38" s="78">
        <v>0.02</v>
      </c>
      <c r="X38" s="78">
        <v>0.05</v>
      </c>
      <c r="Y38" s="2">
        <v>9.5000000000000001E-2</v>
      </c>
    </row>
    <row r="39" spans="1:25" x14ac:dyDescent="0.2">
      <c r="A39" s="7">
        <v>45994</v>
      </c>
      <c r="B39" s="2" t="s">
        <v>113</v>
      </c>
      <c r="C39" s="2" t="s">
        <v>195</v>
      </c>
      <c r="D39" s="2">
        <v>8.85</v>
      </c>
      <c r="E39" s="2">
        <v>37.200000000000003</v>
      </c>
      <c r="F39" s="2">
        <v>356</v>
      </c>
      <c r="G39" s="2">
        <v>174</v>
      </c>
      <c r="H39" s="2">
        <v>20</v>
      </c>
      <c r="I39" s="2">
        <v>43.9</v>
      </c>
      <c r="J39" s="78">
        <v>1</v>
      </c>
      <c r="K39" s="78">
        <v>0.02</v>
      </c>
      <c r="L39" s="2">
        <v>46.4</v>
      </c>
      <c r="M39" s="2">
        <v>8.43</v>
      </c>
      <c r="N39" s="2">
        <v>41</v>
      </c>
      <c r="O39" s="78">
        <v>0.5</v>
      </c>
      <c r="P39" s="2">
        <v>36.5</v>
      </c>
      <c r="Q39" s="2">
        <v>4.4800000000000004</v>
      </c>
      <c r="R39" s="78">
        <v>0.1</v>
      </c>
      <c r="S39" s="78">
        <v>0.05</v>
      </c>
      <c r="T39" s="78">
        <v>2E-3</v>
      </c>
      <c r="U39" s="78">
        <v>5.0000000000000001E-3</v>
      </c>
      <c r="V39" s="78">
        <v>0.1</v>
      </c>
      <c r="W39" s="78">
        <v>0.02</v>
      </c>
      <c r="X39" s="78">
        <v>0.05</v>
      </c>
      <c r="Y39" s="2">
        <v>0.25</v>
      </c>
    </row>
    <row r="43" spans="1:25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</sheetData>
  <mergeCells count="1">
    <mergeCell ref="A1:G1"/>
  </mergeCells>
  <phoneticPr fontId="13" type="noConversion"/>
  <pageMargins left="0.19685039370078741" right="0.19685039370078741" top="0.74803149606299213" bottom="0.74803149606299213" header="0.31496062992125984" footer="0.31496062992125984"/>
  <pageSetup paperSize="9" scale="86" orientation="landscape" r:id="rId1"/>
  <headerFooter>
    <oddHeader>&amp;C&amp;F</oddHeader>
    <oddFooter>&amp;C&amp;A</oddFooter>
  </headerFooter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099B-DA3A-42C6-BC60-1FF87B258AC3}">
  <dimension ref="A1:Y42"/>
  <sheetViews>
    <sheetView tabSelected="1" topLeftCell="F1" zoomScale="130" zoomScaleNormal="130" workbookViewId="0">
      <pane ySplit="2" topLeftCell="A3" activePane="bottomLeft" state="frozen"/>
      <selection activeCell="C1" sqref="C1"/>
      <selection pane="bottomLeft" activeCell="H28" sqref="H28:H39"/>
    </sheetView>
  </sheetViews>
  <sheetFormatPr defaultColWidth="9.140625" defaultRowHeight="12.75" x14ac:dyDescent="0.2"/>
  <cols>
    <col min="1" max="1" width="10.85546875" style="7" bestFit="1" customWidth="1"/>
    <col min="2" max="2" width="9.140625" style="2"/>
    <col min="3" max="3" width="11.7109375" style="2" customWidth="1"/>
    <col min="4" max="7" width="7.7109375" style="2" customWidth="1"/>
    <col min="8" max="8" width="9" style="2" bestFit="1" customWidth="1"/>
    <col min="9" max="22" width="7.7109375" style="2" customWidth="1"/>
    <col min="23" max="24" width="9.140625" style="2"/>
    <col min="25" max="25" width="11" style="2" bestFit="1" customWidth="1"/>
    <col min="26" max="16384" width="9.140625" style="2"/>
  </cols>
  <sheetData>
    <row r="1" spans="1:25" ht="25.5" customHeight="1" x14ac:dyDescent="0.2">
      <c r="A1" s="88" t="s">
        <v>73</v>
      </c>
      <c r="B1" s="88"/>
      <c r="C1" s="88"/>
      <c r="D1" s="88"/>
      <c r="E1" s="88"/>
      <c r="F1" s="88"/>
      <c r="G1" s="88"/>
    </row>
    <row r="2" spans="1:25" ht="92.25" x14ac:dyDescent="0.2">
      <c r="A2" s="64" t="s">
        <v>24</v>
      </c>
      <c r="B2" s="65" t="s">
        <v>38</v>
      </c>
      <c r="C2" s="65" t="s">
        <v>39</v>
      </c>
      <c r="D2" s="65" t="s">
        <v>25</v>
      </c>
      <c r="E2" s="65" t="s">
        <v>26</v>
      </c>
      <c r="F2" s="65" t="s">
        <v>168</v>
      </c>
      <c r="G2" s="65" t="s">
        <v>169</v>
      </c>
      <c r="H2" s="65" t="s">
        <v>48</v>
      </c>
      <c r="I2" s="65" t="s">
        <v>27</v>
      </c>
      <c r="J2" s="65" t="s">
        <v>28</v>
      </c>
      <c r="K2" s="65" t="s">
        <v>29</v>
      </c>
      <c r="L2" s="65" t="s">
        <v>69</v>
      </c>
      <c r="M2" s="65" t="s">
        <v>44</v>
      </c>
      <c r="N2" s="65" t="s">
        <v>30</v>
      </c>
      <c r="O2" s="66" t="s">
        <v>40</v>
      </c>
      <c r="P2" s="66" t="s">
        <v>41</v>
      </c>
      <c r="Q2" s="66" t="s">
        <v>42</v>
      </c>
      <c r="R2" s="65" t="s">
        <v>47</v>
      </c>
      <c r="S2" s="65" t="s">
        <v>31</v>
      </c>
      <c r="T2" s="65" t="s">
        <v>46</v>
      </c>
      <c r="U2" s="65" t="s">
        <v>127</v>
      </c>
      <c r="V2" s="65" t="s">
        <v>32</v>
      </c>
      <c r="W2" s="65" t="s">
        <v>33</v>
      </c>
      <c r="X2" s="65" t="s">
        <v>34</v>
      </c>
      <c r="Y2" s="67" t="s">
        <v>35</v>
      </c>
    </row>
    <row r="3" spans="1:25" ht="14.25" customHeight="1" x14ac:dyDescent="0.2">
      <c r="A3" s="57"/>
      <c r="B3" s="3"/>
      <c r="C3" s="3"/>
      <c r="D3" s="3"/>
      <c r="E3" s="35" t="s">
        <v>36</v>
      </c>
      <c r="F3" s="35" t="s">
        <v>36</v>
      </c>
      <c r="G3" s="35"/>
      <c r="H3" s="3"/>
      <c r="I3" s="36" t="s">
        <v>37</v>
      </c>
      <c r="J3" s="35" t="s">
        <v>36</v>
      </c>
      <c r="K3" s="35" t="s">
        <v>36</v>
      </c>
      <c r="L3" s="36" t="s">
        <v>36</v>
      </c>
      <c r="M3" s="35" t="s">
        <v>36</v>
      </c>
      <c r="N3" s="35" t="s">
        <v>36</v>
      </c>
      <c r="O3" s="35" t="s">
        <v>36</v>
      </c>
      <c r="P3" s="35" t="s">
        <v>36</v>
      </c>
      <c r="Q3" s="35" t="s">
        <v>36</v>
      </c>
      <c r="R3" s="35" t="s">
        <v>36</v>
      </c>
      <c r="S3" s="35" t="s">
        <v>36</v>
      </c>
      <c r="T3" s="35" t="s">
        <v>36</v>
      </c>
      <c r="U3" s="35" t="s">
        <v>36</v>
      </c>
      <c r="V3" s="35" t="s">
        <v>36</v>
      </c>
      <c r="W3" s="35" t="s">
        <v>36</v>
      </c>
      <c r="X3" s="35" t="s">
        <v>36</v>
      </c>
      <c r="Y3" s="58" t="s">
        <v>36</v>
      </c>
    </row>
    <row r="4" spans="1:25" x14ac:dyDescent="0.2">
      <c r="A4" s="69" t="s">
        <v>43</v>
      </c>
      <c r="B4" s="10"/>
      <c r="C4" s="10"/>
      <c r="D4" s="10" t="s">
        <v>45</v>
      </c>
      <c r="E4" s="10">
        <v>160</v>
      </c>
      <c r="F4" s="10">
        <v>40</v>
      </c>
      <c r="G4" s="71">
        <v>5.5555555555555552E-2</v>
      </c>
      <c r="H4" s="10">
        <v>80</v>
      </c>
      <c r="I4" s="10">
        <v>15</v>
      </c>
      <c r="J4" s="10">
        <v>20</v>
      </c>
      <c r="K4" s="10">
        <v>0.6</v>
      </c>
      <c r="L4" s="34" t="s">
        <v>54</v>
      </c>
      <c r="M4" s="10">
        <v>10</v>
      </c>
      <c r="N4" s="10">
        <v>2</v>
      </c>
      <c r="O4" s="34" t="s">
        <v>54</v>
      </c>
      <c r="P4" s="34" t="s">
        <v>54</v>
      </c>
      <c r="Q4" s="34" t="s">
        <v>54</v>
      </c>
      <c r="R4" s="10">
        <v>2</v>
      </c>
      <c r="S4" s="10">
        <v>0.2</v>
      </c>
      <c r="T4" s="10">
        <v>0.02</v>
      </c>
      <c r="U4" s="10">
        <v>5.0000000000000001E-3</v>
      </c>
      <c r="V4" s="10">
        <v>0.2</v>
      </c>
      <c r="W4" s="10">
        <v>0.2</v>
      </c>
      <c r="X4" s="10">
        <v>0.1</v>
      </c>
      <c r="Y4" s="70" t="s">
        <v>54</v>
      </c>
    </row>
    <row r="5" spans="1:25" x14ac:dyDescent="0.2">
      <c r="A5" s="57">
        <v>44944</v>
      </c>
      <c r="B5" s="33" t="s">
        <v>113</v>
      </c>
      <c r="C5" s="33" t="s">
        <v>131</v>
      </c>
      <c r="D5" s="3">
        <v>7.12</v>
      </c>
      <c r="E5" s="3">
        <v>26.6</v>
      </c>
      <c r="F5" s="3"/>
      <c r="G5" s="3"/>
      <c r="H5" s="3">
        <v>17.3</v>
      </c>
      <c r="I5" s="3">
        <v>0.5</v>
      </c>
      <c r="J5" s="3">
        <v>8.9</v>
      </c>
      <c r="K5" s="3">
        <v>0.02</v>
      </c>
      <c r="L5" s="3">
        <v>12.9</v>
      </c>
      <c r="M5" s="3">
        <v>1.5</v>
      </c>
      <c r="N5" s="3">
        <v>0.57999999999999996</v>
      </c>
      <c r="O5" s="3">
        <v>0.5</v>
      </c>
      <c r="P5" s="3">
        <v>0.4</v>
      </c>
      <c r="Q5" s="3">
        <v>0.57999999999999996</v>
      </c>
      <c r="R5" s="3">
        <v>0.1</v>
      </c>
      <c r="S5" s="3">
        <v>0.05</v>
      </c>
      <c r="T5" s="3">
        <v>2E-3</v>
      </c>
      <c r="U5" s="3"/>
      <c r="V5" s="3">
        <v>0.1</v>
      </c>
      <c r="W5" s="3">
        <v>0.02</v>
      </c>
      <c r="X5" s="3">
        <v>0.05</v>
      </c>
      <c r="Y5" s="59">
        <v>0.05</v>
      </c>
    </row>
    <row r="6" spans="1:25" x14ac:dyDescent="0.2">
      <c r="A6" s="57">
        <v>44977</v>
      </c>
      <c r="B6" s="33" t="s">
        <v>113</v>
      </c>
      <c r="C6" s="33" t="s">
        <v>132</v>
      </c>
      <c r="D6" s="3">
        <v>6.28</v>
      </c>
      <c r="E6" s="3">
        <v>80.3</v>
      </c>
      <c r="F6" s="3"/>
      <c r="G6" s="3"/>
      <c r="H6" s="3">
        <v>21</v>
      </c>
      <c r="I6" s="3">
        <v>0.5</v>
      </c>
      <c r="J6" s="3">
        <v>3</v>
      </c>
      <c r="K6" s="3">
        <v>0.02</v>
      </c>
      <c r="L6" s="3">
        <v>10</v>
      </c>
      <c r="M6" s="3">
        <v>0.88</v>
      </c>
      <c r="N6" s="3">
        <v>0.5</v>
      </c>
      <c r="O6" s="3">
        <v>0.5</v>
      </c>
      <c r="P6" s="3">
        <v>0.4</v>
      </c>
      <c r="Q6" s="3">
        <v>0.4</v>
      </c>
      <c r="R6" s="3">
        <v>0.1</v>
      </c>
      <c r="S6" s="3">
        <v>0.05</v>
      </c>
      <c r="T6" s="3">
        <v>2E-3</v>
      </c>
      <c r="U6" s="3"/>
      <c r="V6" s="3">
        <v>0.1</v>
      </c>
      <c r="W6" s="3">
        <v>0.02</v>
      </c>
      <c r="X6" s="3">
        <v>0.05</v>
      </c>
      <c r="Y6" s="59">
        <v>0.05</v>
      </c>
    </row>
    <row r="7" spans="1:25" x14ac:dyDescent="0.2">
      <c r="A7" s="57">
        <v>45001</v>
      </c>
      <c r="B7" s="33" t="s">
        <v>113</v>
      </c>
      <c r="C7" s="33" t="s">
        <v>133</v>
      </c>
      <c r="D7" s="3">
        <v>6.51</v>
      </c>
      <c r="E7" s="3">
        <v>16.7</v>
      </c>
      <c r="F7" s="3"/>
      <c r="G7" s="3"/>
      <c r="H7" s="3">
        <v>5</v>
      </c>
      <c r="I7" s="3">
        <v>0.5</v>
      </c>
      <c r="J7" s="3">
        <v>4.7</v>
      </c>
      <c r="K7" s="3">
        <v>0.02</v>
      </c>
      <c r="L7" s="3">
        <v>10</v>
      </c>
      <c r="M7" s="3">
        <v>0.97</v>
      </c>
      <c r="N7" s="3">
        <v>0.5</v>
      </c>
      <c r="O7" s="3">
        <v>0.5</v>
      </c>
      <c r="P7" s="3">
        <v>0.4</v>
      </c>
      <c r="Q7" s="3">
        <v>0.4</v>
      </c>
      <c r="R7" s="3">
        <v>0.1</v>
      </c>
      <c r="S7" s="3">
        <v>0.05</v>
      </c>
      <c r="T7" s="3">
        <v>2E-3</v>
      </c>
      <c r="U7" s="3"/>
      <c r="V7" s="3">
        <v>0.1</v>
      </c>
      <c r="W7" s="3">
        <v>0.02</v>
      </c>
      <c r="X7" s="3">
        <v>0.05</v>
      </c>
      <c r="Y7" s="59">
        <v>0.05</v>
      </c>
    </row>
    <row r="8" spans="1:25" x14ac:dyDescent="0.2">
      <c r="A8" s="57">
        <v>45033</v>
      </c>
      <c r="B8" s="33" t="s">
        <v>113</v>
      </c>
      <c r="C8" s="33" t="s">
        <v>134</v>
      </c>
      <c r="D8" s="3">
        <v>6.09</v>
      </c>
      <c r="E8" s="3">
        <v>16.100000000000001</v>
      </c>
      <c r="F8" s="3"/>
      <c r="G8" s="3"/>
      <c r="H8" s="3">
        <v>5.2</v>
      </c>
      <c r="I8" s="3">
        <v>0.5</v>
      </c>
      <c r="J8" s="3">
        <v>4.0999999999999996</v>
      </c>
      <c r="K8" s="3">
        <v>0.02</v>
      </c>
      <c r="L8" s="3">
        <v>10</v>
      </c>
      <c r="M8" s="3">
        <v>0.88</v>
      </c>
      <c r="N8" s="3">
        <v>0.61</v>
      </c>
      <c r="O8" s="3">
        <v>0.5</v>
      </c>
      <c r="P8" s="3">
        <v>0.61</v>
      </c>
      <c r="Q8" s="3">
        <v>0.4</v>
      </c>
      <c r="R8" s="3">
        <v>0.1</v>
      </c>
      <c r="S8" s="3">
        <v>0.05</v>
      </c>
      <c r="T8" s="3">
        <v>2E-3</v>
      </c>
      <c r="U8" s="3"/>
      <c r="V8" s="3">
        <v>0.1</v>
      </c>
      <c r="W8" s="3">
        <v>0.02</v>
      </c>
      <c r="X8" s="3">
        <v>0.05</v>
      </c>
      <c r="Y8" s="59">
        <v>0.09</v>
      </c>
    </row>
    <row r="9" spans="1:25" x14ac:dyDescent="0.2">
      <c r="A9" s="57">
        <v>45062</v>
      </c>
      <c r="B9" s="33" t="s">
        <v>113</v>
      </c>
      <c r="C9" s="33" t="s">
        <v>135</v>
      </c>
      <c r="D9" s="3">
        <v>6.82</v>
      </c>
      <c r="E9" s="3">
        <v>8.6</v>
      </c>
      <c r="F9" s="3"/>
      <c r="G9" s="3"/>
      <c r="H9" s="3">
        <v>5</v>
      </c>
      <c r="I9" s="3">
        <v>0.5</v>
      </c>
      <c r="J9" s="3">
        <v>3.7</v>
      </c>
      <c r="K9" s="3">
        <v>0.02</v>
      </c>
      <c r="L9" s="3">
        <v>10</v>
      </c>
      <c r="M9" s="3">
        <v>0.94</v>
      </c>
      <c r="N9" s="3">
        <v>0.5</v>
      </c>
      <c r="O9" s="3">
        <v>0.5</v>
      </c>
      <c r="P9" s="3">
        <v>0.4</v>
      </c>
      <c r="Q9" s="3">
        <v>0.4</v>
      </c>
      <c r="R9" s="3">
        <v>0.1</v>
      </c>
      <c r="S9" s="3">
        <v>0.05</v>
      </c>
      <c r="T9" s="3">
        <v>2E-3</v>
      </c>
      <c r="U9" s="3"/>
      <c r="V9" s="3">
        <v>0.1</v>
      </c>
      <c r="W9" s="3">
        <v>0.02</v>
      </c>
      <c r="X9" s="3">
        <v>0.05</v>
      </c>
      <c r="Y9" s="59">
        <v>0.05</v>
      </c>
    </row>
    <row r="10" spans="1:25" x14ac:dyDescent="0.2">
      <c r="A10" s="57">
        <v>45085</v>
      </c>
      <c r="B10" s="33" t="s">
        <v>113</v>
      </c>
      <c r="C10" s="33" t="s">
        <v>136</v>
      </c>
      <c r="D10" s="3">
        <v>5.72</v>
      </c>
      <c r="E10" s="3">
        <v>17.600000000000001</v>
      </c>
      <c r="F10" s="3"/>
      <c r="G10" s="3"/>
      <c r="H10" s="3">
        <v>5</v>
      </c>
      <c r="I10" s="3">
        <v>1.8</v>
      </c>
      <c r="J10" s="3">
        <v>10</v>
      </c>
      <c r="K10" s="3">
        <v>0.02</v>
      </c>
      <c r="L10" s="3">
        <v>14.3</v>
      </c>
      <c r="M10" s="3">
        <v>2.9</v>
      </c>
      <c r="N10" s="3">
        <v>0.53</v>
      </c>
      <c r="O10" s="3">
        <v>0.5</v>
      </c>
      <c r="P10" s="3">
        <v>0.53</v>
      </c>
      <c r="Q10" s="3">
        <v>0.4</v>
      </c>
      <c r="R10" s="3">
        <v>0.1</v>
      </c>
      <c r="S10" s="3">
        <v>0.05</v>
      </c>
      <c r="T10" s="3">
        <v>2E-3</v>
      </c>
      <c r="U10" s="3"/>
      <c r="V10" s="3">
        <v>0.1</v>
      </c>
      <c r="W10" s="3">
        <v>0.02</v>
      </c>
      <c r="X10" s="3">
        <v>0.05</v>
      </c>
      <c r="Y10" s="59">
        <v>0.17</v>
      </c>
    </row>
    <row r="11" spans="1:25" x14ac:dyDescent="0.2">
      <c r="A11" s="57">
        <v>45118</v>
      </c>
      <c r="B11" s="33" t="s">
        <v>113</v>
      </c>
      <c r="C11" s="33" t="s">
        <v>137</v>
      </c>
      <c r="D11" s="3">
        <v>8.43</v>
      </c>
      <c r="E11" s="3">
        <v>37.200000000000003</v>
      </c>
      <c r="F11" s="3"/>
      <c r="G11" s="3"/>
      <c r="H11" s="3">
        <v>15.1</v>
      </c>
      <c r="I11" s="3">
        <v>0.63</v>
      </c>
      <c r="J11" s="3">
        <v>11</v>
      </c>
      <c r="K11" s="3">
        <v>0.02</v>
      </c>
      <c r="L11" s="3">
        <v>13.6</v>
      </c>
      <c r="M11" s="3">
        <v>2.6</v>
      </c>
      <c r="N11" s="3">
        <v>0.93</v>
      </c>
      <c r="O11" s="3">
        <v>0.5</v>
      </c>
      <c r="P11" s="3">
        <v>0.93</v>
      </c>
      <c r="Q11" s="3">
        <v>0.4</v>
      </c>
      <c r="R11" s="3">
        <v>0.1</v>
      </c>
      <c r="S11" s="3">
        <v>0.05</v>
      </c>
      <c r="T11" s="3">
        <v>2E-3</v>
      </c>
      <c r="U11" s="3"/>
      <c r="V11" s="3">
        <v>0.1</v>
      </c>
      <c r="W11" s="3">
        <v>0.02</v>
      </c>
      <c r="X11" s="3">
        <v>0.05</v>
      </c>
      <c r="Y11" s="59">
        <v>0.16</v>
      </c>
    </row>
    <row r="12" spans="1:25" x14ac:dyDescent="0.2">
      <c r="A12" s="57">
        <v>45181</v>
      </c>
      <c r="B12" s="33" t="s">
        <v>113</v>
      </c>
      <c r="C12" s="33" t="s">
        <v>138</v>
      </c>
      <c r="D12" s="3">
        <v>6.77</v>
      </c>
      <c r="E12" s="3">
        <v>21.7</v>
      </c>
      <c r="F12" s="3"/>
      <c r="G12" s="3"/>
      <c r="H12" s="3">
        <v>5</v>
      </c>
      <c r="I12" s="3">
        <v>5</v>
      </c>
      <c r="J12" s="3">
        <v>11</v>
      </c>
      <c r="K12" s="3">
        <v>0.02</v>
      </c>
      <c r="L12" s="3">
        <v>15.8</v>
      </c>
      <c r="M12" s="3">
        <v>2.4</v>
      </c>
      <c r="N12" s="3">
        <v>0.63</v>
      </c>
      <c r="O12" s="3">
        <v>0.5</v>
      </c>
      <c r="P12" s="3">
        <v>0.63</v>
      </c>
      <c r="Q12" s="3">
        <v>0.4</v>
      </c>
      <c r="R12" s="3">
        <v>0.1</v>
      </c>
      <c r="S12" s="3">
        <v>0.05</v>
      </c>
      <c r="T12" s="3">
        <v>2E-3</v>
      </c>
      <c r="U12" s="3"/>
      <c r="V12" s="3">
        <v>0.1</v>
      </c>
      <c r="W12" s="3">
        <v>0.02</v>
      </c>
      <c r="X12" s="3">
        <v>0.05</v>
      </c>
      <c r="Y12" s="59">
        <v>2.5000000000000001E-2</v>
      </c>
    </row>
    <row r="13" spans="1:25" x14ac:dyDescent="0.2">
      <c r="A13" s="57">
        <v>45211</v>
      </c>
      <c r="B13" s="33" t="s">
        <v>113</v>
      </c>
      <c r="C13" s="33" t="s">
        <v>139</v>
      </c>
      <c r="D13" s="3">
        <v>6.22</v>
      </c>
      <c r="E13" s="3">
        <v>11.2</v>
      </c>
      <c r="F13" s="3"/>
      <c r="G13" s="3"/>
      <c r="H13" s="3">
        <v>5</v>
      </c>
      <c r="I13" s="3">
        <v>0.5</v>
      </c>
      <c r="J13" s="3">
        <v>9.9</v>
      </c>
      <c r="K13" s="3">
        <v>0.02</v>
      </c>
      <c r="L13" s="3">
        <v>11.3</v>
      </c>
      <c r="M13" s="3">
        <v>1.3</v>
      </c>
      <c r="N13" s="3">
        <v>0.5</v>
      </c>
      <c r="O13" s="3">
        <v>0.5</v>
      </c>
      <c r="P13" s="3">
        <v>0.4</v>
      </c>
      <c r="Q13" s="3">
        <v>0.4</v>
      </c>
      <c r="R13" s="3">
        <v>0.1</v>
      </c>
      <c r="S13" s="3">
        <v>0.05</v>
      </c>
      <c r="T13" s="3">
        <v>2E-3</v>
      </c>
      <c r="U13" s="3"/>
      <c r="V13" s="3">
        <v>0.1</v>
      </c>
      <c r="W13" s="3">
        <v>0.02</v>
      </c>
      <c r="X13" s="3">
        <v>0.05</v>
      </c>
      <c r="Y13" s="59">
        <v>0.12</v>
      </c>
    </row>
    <row r="14" spans="1:25" x14ac:dyDescent="0.2">
      <c r="A14" s="57">
        <v>45245</v>
      </c>
      <c r="B14" s="33" t="s">
        <v>113</v>
      </c>
      <c r="C14" s="33" t="s">
        <v>140</v>
      </c>
      <c r="D14" s="3">
        <v>6.78</v>
      </c>
      <c r="E14" s="3">
        <v>23.5</v>
      </c>
      <c r="F14" s="3"/>
      <c r="G14" s="3"/>
      <c r="H14" s="3">
        <v>13.4</v>
      </c>
      <c r="I14" s="3">
        <v>0.5</v>
      </c>
      <c r="J14" s="3">
        <v>10.3</v>
      </c>
      <c r="K14" s="3">
        <v>0.02</v>
      </c>
      <c r="L14" s="3">
        <v>12.8</v>
      </c>
      <c r="M14" s="3">
        <v>1.9</v>
      </c>
      <c r="N14" s="3">
        <v>0.5</v>
      </c>
      <c r="O14" s="3">
        <v>0.5</v>
      </c>
      <c r="P14" s="3">
        <v>0.4</v>
      </c>
      <c r="Q14" s="3">
        <v>0.46</v>
      </c>
      <c r="R14" s="3">
        <v>0.1</v>
      </c>
      <c r="S14" s="3">
        <v>0.05</v>
      </c>
      <c r="T14" s="3">
        <v>2E-3</v>
      </c>
      <c r="U14" s="3"/>
      <c r="V14" s="3">
        <v>0.1</v>
      </c>
      <c r="W14" s="3">
        <v>0.02</v>
      </c>
      <c r="X14" s="3">
        <v>0.05</v>
      </c>
      <c r="Y14" s="59">
        <v>0.12</v>
      </c>
    </row>
    <row r="15" spans="1:25" x14ac:dyDescent="0.2">
      <c r="A15" s="57">
        <v>45274</v>
      </c>
      <c r="B15" s="33" t="s">
        <v>113</v>
      </c>
      <c r="C15" s="33" t="s">
        <v>141</v>
      </c>
      <c r="D15" s="3">
        <v>6.59</v>
      </c>
      <c r="E15" s="3">
        <v>22.3</v>
      </c>
      <c r="F15" s="3"/>
      <c r="G15" s="3"/>
      <c r="H15" s="3">
        <v>11.3</v>
      </c>
      <c r="I15" s="3">
        <v>0.53</v>
      </c>
      <c r="J15" s="3">
        <v>12.9</v>
      </c>
      <c r="K15" s="3">
        <v>0.02</v>
      </c>
      <c r="L15" s="3">
        <v>19.399999999999999</v>
      </c>
      <c r="M15" s="3">
        <v>1.7</v>
      </c>
      <c r="N15" s="3">
        <v>0.5</v>
      </c>
      <c r="O15" s="3">
        <v>0.5</v>
      </c>
      <c r="P15" s="3">
        <v>0.44</v>
      </c>
      <c r="Q15" s="3">
        <v>0.4</v>
      </c>
      <c r="R15" s="3">
        <v>0.1</v>
      </c>
      <c r="S15" s="3">
        <v>0.05</v>
      </c>
      <c r="T15" s="3">
        <v>2E-3</v>
      </c>
      <c r="U15" s="3"/>
      <c r="V15" s="3">
        <v>0.1</v>
      </c>
      <c r="W15" s="3">
        <v>0.02</v>
      </c>
      <c r="X15" s="3">
        <v>0.05</v>
      </c>
      <c r="Y15" s="59">
        <v>0.09</v>
      </c>
    </row>
    <row r="16" spans="1:25" x14ac:dyDescent="0.2">
      <c r="A16" s="57">
        <v>45301</v>
      </c>
      <c r="B16" s="33" t="s">
        <v>113</v>
      </c>
      <c r="C16" s="33" t="s">
        <v>145</v>
      </c>
      <c r="D16" s="3">
        <v>6.69</v>
      </c>
      <c r="E16" s="3">
        <v>31.6</v>
      </c>
      <c r="F16" s="72">
        <v>20</v>
      </c>
      <c r="G16" s="3">
        <v>10</v>
      </c>
      <c r="H16" s="3">
        <v>21.8</v>
      </c>
      <c r="I16" s="3">
        <v>2.2000000000000002</v>
      </c>
      <c r="J16" s="3">
        <v>10.9</v>
      </c>
      <c r="K16" s="3">
        <v>0.08</v>
      </c>
      <c r="L16" s="3">
        <v>19.3</v>
      </c>
      <c r="M16" s="3">
        <v>2</v>
      </c>
      <c r="N16" s="72">
        <v>0.5</v>
      </c>
      <c r="O16" s="3">
        <v>0.5</v>
      </c>
      <c r="P16" s="3">
        <v>0.4</v>
      </c>
      <c r="Q16" s="3">
        <v>0.4</v>
      </c>
      <c r="R16" s="72">
        <v>0.1</v>
      </c>
      <c r="S16" s="72">
        <v>0.05</v>
      </c>
      <c r="T16" s="72">
        <v>2E-3</v>
      </c>
      <c r="U16" s="72">
        <v>5.0000000000000001E-3</v>
      </c>
      <c r="V16" s="72">
        <v>0.1</v>
      </c>
      <c r="W16" s="72">
        <v>0.02</v>
      </c>
      <c r="X16" s="72">
        <v>0.05</v>
      </c>
      <c r="Y16" s="59">
        <v>0.1</v>
      </c>
    </row>
    <row r="17" spans="1:25" x14ac:dyDescent="0.2">
      <c r="A17" s="57">
        <v>45327</v>
      </c>
      <c r="B17" s="33" t="s">
        <v>113</v>
      </c>
      <c r="C17" s="33" t="s">
        <v>147</v>
      </c>
      <c r="D17" s="3">
        <v>6.8</v>
      </c>
      <c r="E17" s="3">
        <v>25.9</v>
      </c>
      <c r="F17" s="72">
        <v>20</v>
      </c>
      <c r="G17" s="3">
        <v>20</v>
      </c>
      <c r="H17" s="3">
        <v>18.2</v>
      </c>
      <c r="I17" s="3">
        <v>0.5</v>
      </c>
      <c r="J17" s="3">
        <v>7.8</v>
      </c>
      <c r="K17" s="72">
        <v>0.02</v>
      </c>
      <c r="L17" s="3">
        <v>10.3</v>
      </c>
      <c r="M17" s="3">
        <v>2.5</v>
      </c>
      <c r="N17" s="3">
        <v>0.56000000000000005</v>
      </c>
      <c r="O17" s="3">
        <v>0.5</v>
      </c>
      <c r="P17" s="3">
        <v>0.56000000000000005</v>
      </c>
      <c r="Q17" s="3">
        <v>0.4</v>
      </c>
      <c r="R17" s="72">
        <v>0.1</v>
      </c>
      <c r="S17" s="72">
        <v>0.05</v>
      </c>
      <c r="T17" s="72">
        <v>2E-3</v>
      </c>
      <c r="U17" s="72">
        <v>5.0000000000000001E-3</v>
      </c>
      <c r="V17" s="72">
        <v>0.1</v>
      </c>
      <c r="W17" s="72">
        <v>0.02</v>
      </c>
      <c r="X17" s="72">
        <v>0.05</v>
      </c>
      <c r="Y17" s="59">
        <v>0.08</v>
      </c>
    </row>
    <row r="18" spans="1:25" x14ac:dyDescent="0.2">
      <c r="A18" s="57">
        <v>45355</v>
      </c>
      <c r="B18" s="33" t="s">
        <v>113</v>
      </c>
      <c r="C18" s="33" t="s">
        <v>149</v>
      </c>
      <c r="D18" s="3">
        <v>6.84</v>
      </c>
      <c r="E18" s="3">
        <v>18.899999999999999</v>
      </c>
      <c r="F18" s="72">
        <v>20</v>
      </c>
      <c r="G18" s="3">
        <v>10</v>
      </c>
      <c r="H18" s="3">
        <v>9.1999999999999993</v>
      </c>
      <c r="I18" s="3">
        <v>0.52</v>
      </c>
      <c r="J18" s="3">
        <v>6.8</v>
      </c>
      <c r="K18" s="72">
        <v>0.02</v>
      </c>
      <c r="L18" s="3">
        <v>11.3</v>
      </c>
      <c r="M18" s="3">
        <v>2</v>
      </c>
      <c r="N18" s="72">
        <v>0.5</v>
      </c>
      <c r="O18" s="3">
        <v>0.5</v>
      </c>
      <c r="P18" s="3">
        <v>0.42</v>
      </c>
      <c r="Q18" s="3">
        <v>0.4</v>
      </c>
      <c r="R18" s="72">
        <v>0.1</v>
      </c>
      <c r="S18" s="72">
        <v>0.05</v>
      </c>
      <c r="T18" s="72">
        <v>2E-3</v>
      </c>
      <c r="U18" s="72">
        <v>5.0000000000000001E-3</v>
      </c>
      <c r="V18" s="72">
        <v>0.1</v>
      </c>
      <c r="W18" s="72">
        <v>0.02</v>
      </c>
      <c r="X18" s="72">
        <v>0.05</v>
      </c>
      <c r="Y18" s="59">
        <v>0.14000000000000001</v>
      </c>
    </row>
    <row r="19" spans="1:25" x14ac:dyDescent="0.2">
      <c r="A19" s="57">
        <v>45385</v>
      </c>
      <c r="B19" s="33" t="s">
        <v>113</v>
      </c>
      <c r="C19" s="33" t="s">
        <v>151</v>
      </c>
      <c r="D19" s="3">
        <v>6.2</v>
      </c>
      <c r="E19" s="3">
        <v>33</v>
      </c>
      <c r="F19" s="72">
        <v>20</v>
      </c>
      <c r="G19" s="3">
        <v>10</v>
      </c>
      <c r="H19" s="3">
        <v>24</v>
      </c>
      <c r="I19" s="3">
        <v>1.9</v>
      </c>
      <c r="J19" s="3">
        <v>9.5</v>
      </c>
      <c r="K19" s="72">
        <v>0.02</v>
      </c>
      <c r="L19" s="3">
        <v>13.7</v>
      </c>
      <c r="M19" s="3">
        <v>2.5</v>
      </c>
      <c r="N19" s="72">
        <v>0.5</v>
      </c>
      <c r="O19" s="3">
        <v>0.5</v>
      </c>
      <c r="P19" s="3">
        <v>0.4</v>
      </c>
      <c r="Q19" s="3">
        <v>0.4</v>
      </c>
      <c r="R19" s="72">
        <v>0.1</v>
      </c>
      <c r="S19" s="72">
        <v>0.05</v>
      </c>
      <c r="T19" s="72">
        <v>2E-3</v>
      </c>
      <c r="U19" s="72">
        <v>5.0000000000000001E-3</v>
      </c>
      <c r="V19" s="72">
        <v>0.1</v>
      </c>
      <c r="W19" s="72">
        <v>0.02</v>
      </c>
      <c r="X19" s="72">
        <v>0.05</v>
      </c>
      <c r="Y19" s="59">
        <v>0.27</v>
      </c>
    </row>
    <row r="20" spans="1:25" x14ac:dyDescent="0.2">
      <c r="A20" s="57">
        <v>45418</v>
      </c>
      <c r="B20" s="33" t="s">
        <v>113</v>
      </c>
      <c r="C20" s="33" t="s">
        <v>153</v>
      </c>
      <c r="D20" s="3">
        <v>6.52</v>
      </c>
      <c r="E20" s="3">
        <v>22.2</v>
      </c>
      <c r="F20" s="72">
        <v>20</v>
      </c>
      <c r="G20" s="3">
        <v>10</v>
      </c>
      <c r="H20" s="3">
        <v>13</v>
      </c>
      <c r="I20" s="3">
        <v>3.62</v>
      </c>
      <c r="J20" s="3">
        <v>9.6999999999999993</v>
      </c>
      <c r="K20" s="72">
        <v>0.02</v>
      </c>
      <c r="L20" s="3">
        <v>16.5</v>
      </c>
      <c r="M20" s="3">
        <v>1.6</v>
      </c>
      <c r="N20" s="72">
        <v>0.5</v>
      </c>
      <c r="O20" s="3">
        <v>0.5</v>
      </c>
      <c r="P20" s="3">
        <v>0.5</v>
      </c>
      <c r="Q20" s="3">
        <v>0.4</v>
      </c>
      <c r="R20" s="72">
        <v>0.1</v>
      </c>
      <c r="S20" s="72">
        <v>0.05</v>
      </c>
      <c r="T20" s="72">
        <v>2E-3</v>
      </c>
      <c r="U20" s="72">
        <v>5.0000000000000001E-3</v>
      </c>
      <c r="V20" s="72">
        <v>0.1</v>
      </c>
      <c r="W20" s="72">
        <v>0.02</v>
      </c>
      <c r="X20" s="72">
        <v>0.05</v>
      </c>
      <c r="Y20" s="59">
        <v>0.13</v>
      </c>
    </row>
    <row r="21" spans="1:25" x14ac:dyDescent="0.2">
      <c r="A21" s="57">
        <v>45449</v>
      </c>
      <c r="B21" s="33" t="s">
        <v>113</v>
      </c>
      <c r="C21" s="33" t="s">
        <v>155</v>
      </c>
      <c r="D21" s="3">
        <v>6.38</v>
      </c>
      <c r="E21" s="3">
        <v>17.100000000000001</v>
      </c>
      <c r="F21" s="72">
        <v>20</v>
      </c>
      <c r="G21" s="3">
        <v>10</v>
      </c>
      <c r="H21" s="3">
        <v>8.4</v>
      </c>
      <c r="I21" s="3">
        <v>0.5</v>
      </c>
      <c r="J21" s="3">
        <v>8.4</v>
      </c>
      <c r="K21" s="72">
        <v>0.02</v>
      </c>
      <c r="L21" s="3">
        <v>10</v>
      </c>
      <c r="M21" s="3">
        <v>2.1</v>
      </c>
      <c r="N21" s="72">
        <v>0.5</v>
      </c>
      <c r="O21" s="3">
        <v>0.5</v>
      </c>
      <c r="P21" s="3">
        <v>0.42</v>
      </c>
      <c r="Q21" s="3">
        <v>0.4</v>
      </c>
      <c r="R21" s="72">
        <v>0.1</v>
      </c>
      <c r="S21" s="72">
        <v>0.05</v>
      </c>
      <c r="T21" s="72">
        <v>2E-3</v>
      </c>
      <c r="U21" s="72">
        <v>5.0000000000000001E-3</v>
      </c>
      <c r="V21" s="72">
        <v>0.1</v>
      </c>
      <c r="W21" s="72">
        <v>0.02</v>
      </c>
      <c r="X21" s="72">
        <v>0.05</v>
      </c>
      <c r="Y21" s="59">
        <v>0.11</v>
      </c>
    </row>
    <row r="22" spans="1:25" x14ac:dyDescent="0.2">
      <c r="A22" s="57">
        <v>45475</v>
      </c>
      <c r="B22" s="33" t="s">
        <v>113</v>
      </c>
      <c r="C22" s="33" t="s">
        <v>157</v>
      </c>
      <c r="D22" s="3">
        <v>6.4</v>
      </c>
      <c r="E22" s="3">
        <v>19</v>
      </c>
      <c r="F22" s="72">
        <v>20</v>
      </c>
      <c r="G22" s="3">
        <v>10</v>
      </c>
      <c r="H22" s="3">
        <v>10.7</v>
      </c>
      <c r="I22" s="3">
        <v>0.5</v>
      </c>
      <c r="J22" s="3">
        <v>11</v>
      </c>
      <c r="K22" s="72">
        <v>0.02</v>
      </c>
      <c r="L22" s="3">
        <v>12.9</v>
      </c>
      <c r="M22" s="3">
        <v>1.7</v>
      </c>
      <c r="N22" s="3">
        <v>0.53</v>
      </c>
      <c r="O22" s="3">
        <v>0.5</v>
      </c>
      <c r="P22" s="3">
        <v>0.53</v>
      </c>
      <c r="Q22" s="3">
        <v>0.4</v>
      </c>
      <c r="R22" s="72">
        <v>0.1</v>
      </c>
      <c r="S22" s="72">
        <v>0.05</v>
      </c>
      <c r="T22" s="72">
        <v>2E-3</v>
      </c>
      <c r="U22" s="72">
        <v>5.0000000000000001E-3</v>
      </c>
      <c r="V22" s="72">
        <v>0.1</v>
      </c>
      <c r="W22" s="72">
        <v>0.02</v>
      </c>
      <c r="X22" s="72">
        <v>0.05</v>
      </c>
      <c r="Y22" s="59">
        <v>0.12</v>
      </c>
    </row>
    <row r="23" spans="1:25" x14ac:dyDescent="0.2">
      <c r="A23" s="57">
        <v>45505</v>
      </c>
      <c r="B23" s="33" t="s">
        <v>113</v>
      </c>
      <c r="C23" s="33" t="s">
        <v>159</v>
      </c>
      <c r="D23" s="3">
        <v>6.03</v>
      </c>
      <c r="E23" s="3">
        <v>27.9</v>
      </c>
      <c r="F23" s="72">
        <v>20</v>
      </c>
      <c r="G23" s="3">
        <v>10</v>
      </c>
      <c r="H23" s="3">
        <v>11.9</v>
      </c>
      <c r="I23" s="3">
        <v>0.54</v>
      </c>
      <c r="J23" s="3">
        <v>13.6</v>
      </c>
      <c r="K23" s="72">
        <v>0.02</v>
      </c>
      <c r="L23" s="3">
        <v>15.1</v>
      </c>
      <c r="M23" s="3">
        <v>2.9</v>
      </c>
      <c r="N23" s="72">
        <v>0.5</v>
      </c>
      <c r="O23" s="3">
        <v>0.5</v>
      </c>
      <c r="P23" s="3">
        <v>0.4</v>
      </c>
      <c r="Q23" s="3">
        <v>0.4</v>
      </c>
      <c r="R23" s="72">
        <v>0.1</v>
      </c>
      <c r="S23" s="72">
        <v>0.05</v>
      </c>
      <c r="T23" s="72">
        <v>2E-3</v>
      </c>
      <c r="U23" s="72">
        <v>5.0000000000000001E-3</v>
      </c>
      <c r="V23" s="72">
        <v>0.1</v>
      </c>
      <c r="W23" s="72">
        <v>0.02</v>
      </c>
      <c r="X23" s="72">
        <v>0.05</v>
      </c>
      <c r="Y23" s="59">
        <v>0.13</v>
      </c>
    </row>
    <row r="24" spans="1:25" x14ac:dyDescent="0.2">
      <c r="A24" s="57">
        <v>45538</v>
      </c>
      <c r="B24" s="33" t="s">
        <v>113</v>
      </c>
      <c r="C24" s="33" t="s">
        <v>161</v>
      </c>
      <c r="D24" s="3">
        <v>6.3</v>
      </c>
      <c r="E24" s="3">
        <v>29.9</v>
      </c>
      <c r="F24" s="3">
        <v>20.8</v>
      </c>
      <c r="G24" s="3">
        <v>10</v>
      </c>
      <c r="H24" s="3">
        <v>12.8</v>
      </c>
      <c r="I24" s="3">
        <v>1.56</v>
      </c>
      <c r="J24" s="3">
        <v>19.2</v>
      </c>
      <c r="K24" s="72">
        <v>0.02</v>
      </c>
      <c r="L24" s="3">
        <v>23.6</v>
      </c>
      <c r="M24" s="3">
        <v>3.5</v>
      </c>
      <c r="N24" s="3">
        <v>0.56000000000000005</v>
      </c>
      <c r="O24" s="3">
        <v>0.5</v>
      </c>
      <c r="P24" s="3">
        <v>0.4</v>
      </c>
      <c r="Q24" s="3">
        <v>0.56000000000000005</v>
      </c>
      <c r="R24" s="72">
        <v>0.1</v>
      </c>
      <c r="S24" s="72">
        <v>0.05</v>
      </c>
      <c r="T24" s="72">
        <v>2E-3</v>
      </c>
      <c r="U24" s="72">
        <v>5.0000000000000001E-3</v>
      </c>
      <c r="V24" s="72">
        <v>0.1</v>
      </c>
      <c r="W24" s="72">
        <v>0.02</v>
      </c>
      <c r="X24" s="72">
        <v>0.05</v>
      </c>
      <c r="Y24" s="59">
        <v>0.25</v>
      </c>
    </row>
    <row r="25" spans="1:25" x14ac:dyDescent="0.2">
      <c r="A25" s="57">
        <v>45568</v>
      </c>
      <c r="B25" s="33" t="s">
        <v>113</v>
      </c>
      <c r="C25" s="33" t="s">
        <v>163</v>
      </c>
      <c r="D25" s="3">
        <v>7.7</v>
      </c>
      <c r="E25" s="3">
        <v>16.100000000000001</v>
      </c>
      <c r="F25" s="72">
        <v>20</v>
      </c>
      <c r="G25" s="3">
        <v>10</v>
      </c>
      <c r="H25" s="3">
        <v>6.3</v>
      </c>
      <c r="I25" s="3">
        <v>1.3</v>
      </c>
      <c r="J25" s="3">
        <v>6.2</v>
      </c>
      <c r="K25" s="72">
        <v>0.02</v>
      </c>
      <c r="L25" s="3">
        <v>10</v>
      </c>
      <c r="M25" s="3">
        <v>0.74</v>
      </c>
      <c r="N25" s="72">
        <v>0.5</v>
      </c>
      <c r="O25" s="3">
        <v>0.5</v>
      </c>
      <c r="P25" s="3">
        <v>0.45</v>
      </c>
      <c r="Q25" s="3">
        <v>0.4</v>
      </c>
      <c r="R25" s="72">
        <v>0.1</v>
      </c>
      <c r="S25" s="72">
        <v>0.05</v>
      </c>
      <c r="T25" s="72">
        <v>2E-3</v>
      </c>
      <c r="U25" s="72">
        <v>5.0000000000000001E-3</v>
      </c>
      <c r="V25" s="72">
        <v>0.1</v>
      </c>
      <c r="W25" s="72">
        <v>0.02</v>
      </c>
      <c r="X25" s="72">
        <v>0.05</v>
      </c>
      <c r="Y25" s="59">
        <v>7.0000000000000007E-2</v>
      </c>
    </row>
    <row r="26" spans="1:25" x14ac:dyDescent="0.2">
      <c r="A26" s="57">
        <v>45601</v>
      </c>
      <c r="B26" s="33" t="s">
        <v>113</v>
      </c>
      <c r="C26" s="33" t="s">
        <v>165</v>
      </c>
      <c r="D26" s="3">
        <v>6.69</v>
      </c>
      <c r="E26" s="3">
        <v>20.2</v>
      </c>
      <c r="F26" s="72">
        <v>20</v>
      </c>
      <c r="G26" s="3">
        <v>20</v>
      </c>
      <c r="H26" s="3">
        <v>8.8000000000000007</v>
      </c>
      <c r="I26" s="3">
        <v>0.85</v>
      </c>
      <c r="J26" s="3">
        <v>9.6</v>
      </c>
      <c r="K26" s="72">
        <v>0.02</v>
      </c>
      <c r="L26" s="3">
        <v>12.2</v>
      </c>
      <c r="M26" s="3">
        <v>1.1000000000000001</v>
      </c>
      <c r="N26" s="72">
        <v>0.5</v>
      </c>
      <c r="O26" s="3">
        <v>0.5</v>
      </c>
      <c r="P26" s="3">
        <v>0.5</v>
      </c>
      <c r="Q26" s="3">
        <v>0.4</v>
      </c>
      <c r="R26" s="72">
        <v>0.1</v>
      </c>
      <c r="S26" s="72">
        <v>0.05</v>
      </c>
      <c r="T26" s="72">
        <v>2E-3</v>
      </c>
      <c r="U26" s="72">
        <v>5.0000000000000001E-3</v>
      </c>
      <c r="V26" s="72">
        <v>0.1</v>
      </c>
      <c r="W26" s="72">
        <v>0.02</v>
      </c>
      <c r="X26" s="72">
        <v>0.05</v>
      </c>
      <c r="Y26" s="59">
        <v>0.12</v>
      </c>
    </row>
    <row r="27" spans="1:25" x14ac:dyDescent="0.2">
      <c r="A27" s="60">
        <v>45629</v>
      </c>
      <c r="B27" s="61" t="s">
        <v>113</v>
      </c>
      <c r="C27" s="61" t="s">
        <v>167</v>
      </c>
      <c r="D27" s="62">
        <v>6.91</v>
      </c>
      <c r="E27" s="62">
        <v>18.3</v>
      </c>
      <c r="F27" s="73">
        <v>20</v>
      </c>
      <c r="G27" s="62">
        <v>10</v>
      </c>
      <c r="H27" s="62">
        <v>6</v>
      </c>
      <c r="I27" s="62">
        <v>2.48</v>
      </c>
      <c r="J27" s="62">
        <v>6.3</v>
      </c>
      <c r="K27" s="73">
        <v>0.02</v>
      </c>
      <c r="L27" s="62">
        <v>11</v>
      </c>
      <c r="M27" s="62">
        <v>0.92</v>
      </c>
      <c r="N27" s="73">
        <v>0.5</v>
      </c>
      <c r="O27" s="62">
        <v>0.5</v>
      </c>
      <c r="P27" s="62">
        <v>0.41</v>
      </c>
      <c r="Q27" s="62">
        <v>0.4</v>
      </c>
      <c r="R27" s="73">
        <v>0.1</v>
      </c>
      <c r="S27" s="73">
        <v>0.05</v>
      </c>
      <c r="T27" s="73">
        <v>2E-3</v>
      </c>
      <c r="U27" s="73">
        <v>5.0000000000000001E-3</v>
      </c>
      <c r="V27" s="73">
        <v>0.1</v>
      </c>
      <c r="W27" s="73">
        <v>0.02</v>
      </c>
      <c r="X27" s="73">
        <v>0.05</v>
      </c>
      <c r="Y27" s="63">
        <v>0.05</v>
      </c>
    </row>
    <row r="28" spans="1:25" x14ac:dyDescent="0.2">
      <c r="A28" s="60">
        <v>45670</v>
      </c>
      <c r="B28" s="61" t="s">
        <v>113</v>
      </c>
      <c r="C28" s="61" t="s">
        <v>174</v>
      </c>
      <c r="D28" s="62">
        <v>7.05</v>
      </c>
      <c r="E28" s="62">
        <v>35.299999999999997</v>
      </c>
      <c r="F28" s="73">
        <v>20</v>
      </c>
      <c r="G28" s="62">
        <v>20</v>
      </c>
      <c r="H28" s="62">
        <v>22.1</v>
      </c>
      <c r="I28" s="62">
        <v>0.04</v>
      </c>
      <c r="J28" s="62">
        <v>9.3000000000000007</v>
      </c>
      <c r="K28" s="73">
        <v>0.02</v>
      </c>
      <c r="L28" s="62">
        <v>13.1</v>
      </c>
      <c r="M28" s="62">
        <v>2.5</v>
      </c>
      <c r="N28" s="62">
        <v>0.6</v>
      </c>
      <c r="O28" s="73">
        <v>0.5</v>
      </c>
      <c r="P28" s="73">
        <v>0.4</v>
      </c>
      <c r="Q28" s="62">
        <v>0.6</v>
      </c>
      <c r="R28" s="75">
        <f>AVERAGE(R5:R27)</f>
        <v>0.10000000000000003</v>
      </c>
      <c r="S28" s="76">
        <v>0.05</v>
      </c>
      <c r="T28" s="76">
        <v>2E-3</v>
      </c>
      <c r="U28" s="76">
        <v>5.0000000000000001E-3</v>
      </c>
      <c r="V28" s="76">
        <v>0.1</v>
      </c>
      <c r="W28" s="76">
        <v>0.02</v>
      </c>
      <c r="X28" s="76">
        <v>0.05</v>
      </c>
      <c r="Y28" s="63">
        <v>0.09</v>
      </c>
    </row>
    <row r="29" spans="1:25" x14ac:dyDescent="0.2">
      <c r="A29" s="8">
        <v>45692</v>
      </c>
      <c r="B29" s="33" t="s">
        <v>113</v>
      </c>
      <c r="C29" s="33" t="s">
        <v>176</v>
      </c>
      <c r="D29" s="2">
        <v>6.8</v>
      </c>
      <c r="E29" s="3">
        <v>20.9</v>
      </c>
      <c r="F29" s="72">
        <v>20</v>
      </c>
      <c r="G29" s="3">
        <v>10</v>
      </c>
      <c r="H29" s="3">
        <v>12.2</v>
      </c>
      <c r="I29" s="3">
        <v>3.3</v>
      </c>
      <c r="J29" s="3">
        <v>9.6999999999999993</v>
      </c>
      <c r="K29" s="72">
        <v>0.02</v>
      </c>
      <c r="L29" s="3">
        <v>11.9</v>
      </c>
      <c r="M29" s="3">
        <v>2.2999999999999998</v>
      </c>
      <c r="N29" s="3">
        <v>0.55000000000000004</v>
      </c>
      <c r="O29" s="72">
        <v>0.5</v>
      </c>
      <c r="P29" s="3">
        <v>0.55000000000000004</v>
      </c>
      <c r="Q29" s="3">
        <v>0.4</v>
      </c>
      <c r="R29" s="77">
        <v>0.1</v>
      </c>
      <c r="S29" s="75">
        <v>0.05</v>
      </c>
      <c r="T29" s="75">
        <v>2E-3</v>
      </c>
      <c r="U29" s="75">
        <v>5.0000000000000001E-3</v>
      </c>
      <c r="V29" s="75">
        <f>AVERAGE(V5:V27)</f>
        <v>0.10000000000000003</v>
      </c>
      <c r="W29" s="77">
        <v>0.02</v>
      </c>
      <c r="X29" s="77">
        <f>AVERAGE(X5:X27)</f>
        <v>5.0000000000000017E-2</v>
      </c>
      <c r="Y29" s="2">
        <v>0.16</v>
      </c>
    </row>
    <row r="30" spans="1:25" x14ac:dyDescent="0.2">
      <c r="A30" s="8">
        <v>45721</v>
      </c>
      <c r="B30" s="33" t="s">
        <v>113</v>
      </c>
      <c r="C30" s="33" t="s">
        <v>178</v>
      </c>
      <c r="D30" s="2">
        <v>6.8</v>
      </c>
      <c r="E30" s="3">
        <v>19.399999999999999</v>
      </c>
      <c r="F30" s="72">
        <v>20</v>
      </c>
      <c r="G30" s="3">
        <v>20</v>
      </c>
      <c r="H30" s="3">
        <v>5.8</v>
      </c>
      <c r="I30" s="3">
        <v>0.52</v>
      </c>
      <c r="J30" s="3">
        <v>8.1</v>
      </c>
      <c r="K30" s="72">
        <v>0.02</v>
      </c>
      <c r="L30" s="3">
        <v>10.5</v>
      </c>
      <c r="M30" s="3">
        <v>1.9</v>
      </c>
      <c r="N30" s="3">
        <v>0.65</v>
      </c>
      <c r="O30" s="72">
        <v>0.5</v>
      </c>
      <c r="P30" s="3">
        <v>0.65</v>
      </c>
      <c r="Q30" s="3">
        <v>0.4</v>
      </c>
      <c r="R30" s="75">
        <f>MAX(R5:R27)</f>
        <v>0.1</v>
      </c>
      <c r="S30" s="75">
        <v>0.05</v>
      </c>
      <c r="T30" s="75">
        <v>2E-3</v>
      </c>
      <c r="U30" s="75">
        <v>5.0000000000000001E-3</v>
      </c>
      <c r="V30" s="75">
        <f>MAX(V5:V27)</f>
        <v>0.1</v>
      </c>
      <c r="W30" s="77">
        <v>0.02</v>
      </c>
      <c r="X30" s="77">
        <f>MAX(X5:X27)</f>
        <v>0.05</v>
      </c>
      <c r="Y30" s="2">
        <v>0.06</v>
      </c>
    </row>
    <row r="31" spans="1:25" x14ac:dyDescent="0.2">
      <c r="A31" s="8">
        <v>45748</v>
      </c>
      <c r="B31" s="33" t="s">
        <v>113</v>
      </c>
      <c r="C31" s="33" t="s">
        <v>180</v>
      </c>
      <c r="D31" s="3">
        <v>6.84</v>
      </c>
      <c r="E31" s="3">
        <v>18.2</v>
      </c>
      <c r="F31" s="72">
        <v>20</v>
      </c>
      <c r="G31" s="3">
        <v>20</v>
      </c>
      <c r="H31" s="3">
        <v>10.199999999999999</v>
      </c>
      <c r="I31" s="72">
        <v>1</v>
      </c>
      <c r="J31" s="3">
        <v>9.5</v>
      </c>
      <c r="K31" s="72">
        <v>0.02</v>
      </c>
      <c r="L31" s="3">
        <v>11.4</v>
      </c>
      <c r="M31" s="3">
        <v>1.5</v>
      </c>
      <c r="N31" s="3">
        <v>0.88</v>
      </c>
      <c r="O31" s="72">
        <v>0.5</v>
      </c>
      <c r="P31" s="72">
        <v>0.4</v>
      </c>
      <c r="Q31" s="3">
        <v>0.48</v>
      </c>
      <c r="R31" s="75">
        <v>0.1</v>
      </c>
      <c r="S31" s="75">
        <v>0.05</v>
      </c>
      <c r="T31" s="75">
        <v>2E-3</v>
      </c>
      <c r="U31" s="75">
        <v>5.0000000000000001E-3</v>
      </c>
      <c r="V31" s="75">
        <v>0.1</v>
      </c>
      <c r="W31" s="77">
        <v>0.02</v>
      </c>
      <c r="X31" s="77">
        <v>0.05</v>
      </c>
      <c r="Y31" s="2">
        <v>0.06</v>
      </c>
    </row>
    <row r="32" spans="1:25" ht="12" customHeight="1" x14ac:dyDescent="0.2">
      <c r="A32" s="8">
        <v>45783</v>
      </c>
      <c r="B32" s="33" t="s">
        <v>113</v>
      </c>
      <c r="C32" s="3" t="s">
        <v>182</v>
      </c>
      <c r="D32" s="3">
        <v>7.14</v>
      </c>
      <c r="E32" s="3">
        <v>15.9</v>
      </c>
      <c r="F32" s="72">
        <v>20</v>
      </c>
      <c r="G32" s="3">
        <v>20</v>
      </c>
      <c r="H32" s="3">
        <v>7.4</v>
      </c>
      <c r="I32" s="72">
        <v>1</v>
      </c>
      <c r="J32" s="3">
        <v>6.7</v>
      </c>
      <c r="K32" s="72">
        <v>0.02</v>
      </c>
      <c r="L32" s="3">
        <v>10</v>
      </c>
      <c r="M32" s="3">
        <v>1.4</v>
      </c>
      <c r="N32" s="3">
        <v>0.7</v>
      </c>
      <c r="O32" s="72">
        <v>0.5</v>
      </c>
      <c r="P32" s="72">
        <v>0.4</v>
      </c>
      <c r="Q32" s="3">
        <v>0.7</v>
      </c>
      <c r="R32" s="75">
        <v>0.1</v>
      </c>
      <c r="S32" s="75">
        <v>0.05</v>
      </c>
      <c r="T32" s="75">
        <v>2E-3</v>
      </c>
      <c r="U32" s="75">
        <v>5.0000000000000001E-3</v>
      </c>
      <c r="V32" s="75">
        <v>0.1</v>
      </c>
      <c r="W32" s="77">
        <v>0.02</v>
      </c>
      <c r="X32" s="77">
        <v>0.05</v>
      </c>
      <c r="Y32" s="2">
        <v>0.08</v>
      </c>
    </row>
    <row r="33" spans="1:25" x14ac:dyDescent="0.2">
      <c r="A33" s="8">
        <v>45813</v>
      </c>
      <c r="B33" s="33" t="s">
        <v>113</v>
      </c>
      <c r="C33" s="3" t="s">
        <v>184</v>
      </c>
      <c r="D33" s="3">
        <v>7.19</v>
      </c>
      <c r="E33" s="3">
        <v>12.8</v>
      </c>
      <c r="F33" s="72">
        <v>20</v>
      </c>
      <c r="G33" s="3">
        <v>10</v>
      </c>
      <c r="H33" s="3">
        <v>7.2</v>
      </c>
      <c r="I33" s="72">
        <v>1</v>
      </c>
      <c r="J33" s="3">
        <v>8.6</v>
      </c>
      <c r="K33" s="72">
        <v>0.02</v>
      </c>
      <c r="L33" s="3">
        <v>11.6</v>
      </c>
      <c r="M33" s="3">
        <v>3</v>
      </c>
      <c r="N33" s="3">
        <v>1.1000000000000001</v>
      </c>
      <c r="O33" s="72">
        <v>0.5</v>
      </c>
      <c r="P33" s="72">
        <v>0.4</v>
      </c>
      <c r="Q33" s="3">
        <v>1.05</v>
      </c>
      <c r="R33" s="75">
        <v>0.1</v>
      </c>
      <c r="S33" s="75">
        <v>0.05</v>
      </c>
      <c r="T33" s="75">
        <v>2E-3</v>
      </c>
      <c r="U33" s="75">
        <v>5.0000000000000001E-3</v>
      </c>
      <c r="V33" s="75">
        <v>0.1</v>
      </c>
      <c r="W33" s="77">
        <v>0.02</v>
      </c>
      <c r="X33" s="77">
        <v>0.05</v>
      </c>
      <c r="Y33" s="2">
        <v>0.05</v>
      </c>
    </row>
    <row r="34" spans="1:25" x14ac:dyDescent="0.2">
      <c r="A34" s="8">
        <v>45839</v>
      </c>
      <c r="B34" s="33" t="s">
        <v>113</v>
      </c>
      <c r="C34" s="3" t="s">
        <v>186</v>
      </c>
      <c r="D34" s="3">
        <v>7.2</v>
      </c>
      <c r="E34" s="3">
        <v>16.8</v>
      </c>
      <c r="F34" s="72">
        <v>20</v>
      </c>
      <c r="G34" s="3">
        <v>10</v>
      </c>
      <c r="H34" s="3">
        <v>5</v>
      </c>
      <c r="I34" s="72">
        <v>1</v>
      </c>
      <c r="J34" s="3">
        <v>8.9</v>
      </c>
      <c r="K34" s="72">
        <v>0.02</v>
      </c>
      <c r="L34" s="3">
        <v>11</v>
      </c>
      <c r="M34" s="3">
        <v>2</v>
      </c>
      <c r="N34" s="3">
        <v>0.5</v>
      </c>
      <c r="O34" s="72">
        <v>0.5</v>
      </c>
      <c r="P34" s="72">
        <v>0.4</v>
      </c>
      <c r="Q34" s="3">
        <v>0.4</v>
      </c>
      <c r="R34" s="75">
        <v>0.1</v>
      </c>
      <c r="S34" s="75">
        <v>0.05</v>
      </c>
      <c r="T34" s="75">
        <v>2E-3</v>
      </c>
      <c r="U34" s="75">
        <v>5.0000000000000001E-3</v>
      </c>
      <c r="V34" s="75">
        <v>0.1</v>
      </c>
      <c r="W34" s="77">
        <v>0.02</v>
      </c>
      <c r="X34" s="77">
        <v>0.05</v>
      </c>
      <c r="Y34" s="2">
        <v>0.05</v>
      </c>
    </row>
    <row r="35" spans="1:25" x14ac:dyDescent="0.2">
      <c r="A35" s="8">
        <v>45870</v>
      </c>
      <c r="B35" s="3" t="s">
        <v>113</v>
      </c>
      <c r="C35" s="3" t="s">
        <v>188</v>
      </c>
      <c r="D35" s="3">
        <v>7.42</v>
      </c>
      <c r="E35" s="3">
        <v>14.8</v>
      </c>
      <c r="F35" s="72">
        <v>20</v>
      </c>
      <c r="G35" s="3">
        <v>10</v>
      </c>
      <c r="H35" s="3">
        <v>9</v>
      </c>
      <c r="I35" s="72">
        <v>1</v>
      </c>
      <c r="J35" s="3">
        <v>8</v>
      </c>
      <c r="K35" s="72">
        <v>0.02</v>
      </c>
      <c r="L35" s="3">
        <v>14.5</v>
      </c>
      <c r="M35" s="3">
        <v>1.9</v>
      </c>
      <c r="N35" s="3">
        <v>0.5</v>
      </c>
      <c r="O35" s="72">
        <v>0.5</v>
      </c>
      <c r="P35" s="72">
        <v>0.4</v>
      </c>
      <c r="Q35" s="3">
        <v>0.4</v>
      </c>
      <c r="R35" s="75">
        <v>0.1</v>
      </c>
      <c r="S35" s="75">
        <v>0.05</v>
      </c>
      <c r="T35" s="75">
        <v>2E-3</v>
      </c>
      <c r="U35" s="75">
        <v>5.0000000000000001E-3</v>
      </c>
      <c r="V35" s="75">
        <v>0.1</v>
      </c>
      <c r="W35" s="77">
        <v>0.02</v>
      </c>
      <c r="X35" s="77">
        <v>0.05</v>
      </c>
      <c r="Y35" s="2">
        <v>0.12</v>
      </c>
    </row>
    <row r="36" spans="1:25" x14ac:dyDescent="0.2">
      <c r="A36" s="7">
        <v>45910</v>
      </c>
      <c r="B36" s="2" t="s">
        <v>113</v>
      </c>
      <c r="C36" s="2" t="s">
        <v>190</v>
      </c>
      <c r="D36" s="2">
        <v>7.15</v>
      </c>
      <c r="E36" s="2">
        <v>19.899999999999999</v>
      </c>
      <c r="F36" s="78">
        <v>20</v>
      </c>
      <c r="G36" s="2">
        <v>10</v>
      </c>
      <c r="H36" s="2">
        <v>6.3</v>
      </c>
      <c r="I36" s="78">
        <v>1</v>
      </c>
      <c r="J36" s="2">
        <v>6.6</v>
      </c>
      <c r="K36" s="78">
        <v>0.02</v>
      </c>
      <c r="L36" s="2">
        <v>10</v>
      </c>
      <c r="M36" s="2">
        <v>1.7</v>
      </c>
      <c r="N36" s="2">
        <v>0.57999999999999996</v>
      </c>
      <c r="O36" s="78">
        <v>0.5</v>
      </c>
      <c r="P36" s="2">
        <v>0.57999999999999996</v>
      </c>
      <c r="Q36" s="2">
        <v>0.4</v>
      </c>
      <c r="R36" s="77">
        <v>0.1</v>
      </c>
      <c r="S36" s="77">
        <v>0.05</v>
      </c>
      <c r="T36" s="77">
        <v>2E-3</v>
      </c>
      <c r="U36" s="77">
        <v>5.0000000000000001E-3</v>
      </c>
      <c r="V36" s="77">
        <v>0.1</v>
      </c>
      <c r="W36" s="77">
        <v>0.02</v>
      </c>
      <c r="X36" s="77">
        <v>0.05</v>
      </c>
      <c r="Y36" s="2">
        <v>0.15</v>
      </c>
    </row>
    <row r="37" spans="1:25" x14ac:dyDescent="0.2">
      <c r="A37" s="7">
        <v>45931</v>
      </c>
      <c r="B37" s="2" t="s">
        <v>113</v>
      </c>
      <c r="C37" s="2" t="s">
        <v>192</v>
      </c>
      <c r="D37" s="2">
        <v>7.04</v>
      </c>
      <c r="E37" s="2">
        <v>15.6</v>
      </c>
      <c r="F37" s="78">
        <v>20</v>
      </c>
      <c r="G37" s="2">
        <v>10</v>
      </c>
      <c r="H37" s="2">
        <v>8.3000000000000007</v>
      </c>
      <c r="I37" s="78">
        <v>1</v>
      </c>
      <c r="J37" s="2">
        <v>7.5</v>
      </c>
      <c r="K37" s="78">
        <v>0.02</v>
      </c>
      <c r="L37" s="2">
        <v>13.1</v>
      </c>
      <c r="M37" s="2">
        <v>1.2</v>
      </c>
      <c r="N37" s="2">
        <v>0.5</v>
      </c>
      <c r="O37" s="78">
        <v>0.5</v>
      </c>
      <c r="P37" s="78">
        <v>0.4</v>
      </c>
      <c r="Q37" s="2">
        <v>0.4</v>
      </c>
      <c r="R37" s="77">
        <v>0.1</v>
      </c>
      <c r="S37" s="77">
        <v>0.05</v>
      </c>
      <c r="T37" s="77">
        <v>2E-3</v>
      </c>
      <c r="U37" s="77">
        <v>5.0000000000000001E-3</v>
      </c>
      <c r="V37" s="77">
        <v>0.1</v>
      </c>
      <c r="W37" s="77">
        <v>0.02</v>
      </c>
      <c r="X37" s="77">
        <v>0.05</v>
      </c>
      <c r="Y37" s="2">
        <v>0.05</v>
      </c>
    </row>
    <row r="38" spans="1:25" x14ac:dyDescent="0.2">
      <c r="A38" s="7">
        <v>45965</v>
      </c>
      <c r="B38" s="2" t="s">
        <v>113</v>
      </c>
      <c r="C38" s="2" t="s">
        <v>194</v>
      </c>
      <c r="D38" s="2">
        <v>7.12</v>
      </c>
      <c r="E38" s="2">
        <v>19.8</v>
      </c>
      <c r="F38" s="78">
        <v>20</v>
      </c>
      <c r="G38" s="2">
        <v>10</v>
      </c>
      <c r="H38" s="2">
        <v>8.8000000000000007</v>
      </c>
      <c r="I38" s="78">
        <v>1</v>
      </c>
      <c r="J38" s="2">
        <v>9.51</v>
      </c>
      <c r="K38" s="78">
        <v>0.02</v>
      </c>
      <c r="L38" s="2">
        <v>11.3</v>
      </c>
      <c r="M38" s="2">
        <v>1.44</v>
      </c>
      <c r="N38" s="2">
        <v>0.6</v>
      </c>
      <c r="O38" s="78">
        <v>0.5</v>
      </c>
      <c r="P38" s="78">
        <v>0.4</v>
      </c>
      <c r="Q38" s="2">
        <v>0.6</v>
      </c>
      <c r="R38" s="77">
        <v>0.1</v>
      </c>
      <c r="S38" s="77">
        <v>0.05</v>
      </c>
      <c r="T38" s="77">
        <v>2E-3</v>
      </c>
      <c r="U38" s="77">
        <v>5.0000000000000001E-3</v>
      </c>
      <c r="V38" s="77">
        <v>0.1</v>
      </c>
      <c r="W38" s="77">
        <v>0.02</v>
      </c>
      <c r="X38" s="77">
        <v>0.05</v>
      </c>
      <c r="Y38" s="2">
        <v>7.2999999999999995E-2</v>
      </c>
    </row>
    <row r="39" spans="1:25" x14ac:dyDescent="0.2">
      <c r="A39" s="7">
        <v>45994</v>
      </c>
      <c r="B39" s="2" t="s">
        <v>113</v>
      </c>
      <c r="C39" s="2" t="s">
        <v>196</v>
      </c>
      <c r="D39" s="2">
        <v>7.19</v>
      </c>
      <c r="E39" s="2">
        <v>13.9</v>
      </c>
      <c r="F39" s="78">
        <v>20</v>
      </c>
      <c r="G39" s="2">
        <v>10</v>
      </c>
      <c r="H39" s="2">
        <v>5</v>
      </c>
      <c r="I39" s="78">
        <v>1</v>
      </c>
      <c r="J39" s="2">
        <v>6.7</v>
      </c>
      <c r="K39" s="78">
        <v>0.02</v>
      </c>
      <c r="L39" s="2">
        <v>10</v>
      </c>
      <c r="M39" s="2">
        <v>1.34</v>
      </c>
      <c r="N39" s="2">
        <v>0.5</v>
      </c>
      <c r="O39" s="78">
        <v>0.5</v>
      </c>
      <c r="P39" s="78">
        <v>0.4</v>
      </c>
      <c r="Q39" s="2">
        <v>0.4</v>
      </c>
      <c r="R39" s="77">
        <v>0.1</v>
      </c>
      <c r="S39" s="77">
        <v>0.05</v>
      </c>
      <c r="T39" s="77">
        <v>2E-3</v>
      </c>
      <c r="U39" s="77">
        <v>5.0000000000000001E-3</v>
      </c>
      <c r="V39" s="77">
        <v>0.1</v>
      </c>
      <c r="W39" s="77">
        <v>0.02</v>
      </c>
      <c r="X39" s="77">
        <v>0.05</v>
      </c>
      <c r="Y39" s="2">
        <v>0.12</v>
      </c>
    </row>
    <row r="42" spans="1:25" x14ac:dyDescent="0.2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</sheetData>
  <mergeCells count="1">
    <mergeCell ref="A1:G1"/>
  </mergeCells>
  <phoneticPr fontId="13" type="noConversion"/>
  <pageMargins left="0.19685039370078741" right="0.19685039370078741" top="0.74803149606299213" bottom="0.74803149606299213" header="0.31496062992125984" footer="0.31496062992125984"/>
  <pageSetup paperSize="9" scale="86" orientation="landscape" r:id="rId1"/>
  <headerFooter>
    <oddHeader>&amp;C&amp;F</oddHeader>
    <oddFooter>&amp;C&amp;A</oddFooter>
  </headerFooter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733F-95C8-4EEE-BE72-60EBDEAF9222}">
  <dimension ref="A1:W37"/>
  <sheetViews>
    <sheetView zoomScaleNormal="100" workbookViewId="0">
      <pane ySplit="2" topLeftCell="A4" activePane="bottomLeft" state="frozen"/>
      <selection activeCell="C1" sqref="C1"/>
      <selection pane="bottomLeft" activeCell="M7" sqref="M7"/>
    </sheetView>
  </sheetViews>
  <sheetFormatPr defaultColWidth="9.140625" defaultRowHeight="12.75" x14ac:dyDescent="0.2"/>
  <cols>
    <col min="1" max="1" width="10.85546875" style="7" bestFit="1" customWidth="1"/>
    <col min="2" max="2" width="9.140625" style="2"/>
    <col min="3" max="3" width="11.7109375" style="2" customWidth="1"/>
    <col min="4" max="23" width="7.7109375" style="2" customWidth="1"/>
    <col min="24" max="16384" width="9.140625" style="2"/>
  </cols>
  <sheetData>
    <row r="1" spans="1:23" ht="25.5" customHeight="1" x14ac:dyDescent="0.2">
      <c r="A1" s="88" t="s">
        <v>72</v>
      </c>
      <c r="B1" s="88"/>
      <c r="C1" s="88"/>
      <c r="D1" s="88"/>
      <c r="E1" s="88"/>
      <c r="F1" s="88"/>
      <c r="G1" s="88"/>
    </row>
    <row r="2" spans="1:23" ht="92.25" x14ac:dyDescent="0.2">
      <c r="A2" s="64" t="s">
        <v>24</v>
      </c>
      <c r="B2" s="65" t="s">
        <v>38</v>
      </c>
      <c r="C2" s="65" t="s">
        <v>39</v>
      </c>
      <c r="D2" s="65" t="s">
        <v>25</v>
      </c>
      <c r="E2" s="65" t="s">
        <v>48</v>
      </c>
      <c r="F2" s="65" t="s">
        <v>26</v>
      </c>
      <c r="G2" s="65" t="s">
        <v>69</v>
      </c>
      <c r="H2" s="65" t="s">
        <v>27</v>
      </c>
      <c r="I2" s="65" t="s">
        <v>28</v>
      </c>
      <c r="J2" s="65" t="s">
        <v>29</v>
      </c>
      <c r="K2" s="65" t="s">
        <v>44</v>
      </c>
      <c r="L2" s="65" t="s">
        <v>30</v>
      </c>
      <c r="M2" s="66" t="s">
        <v>40</v>
      </c>
      <c r="N2" s="66" t="s">
        <v>41</v>
      </c>
      <c r="O2" s="66" t="s">
        <v>42</v>
      </c>
      <c r="P2" s="65" t="s">
        <v>47</v>
      </c>
      <c r="Q2" s="65" t="s">
        <v>31</v>
      </c>
      <c r="R2" s="65" t="s">
        <v>46</v>
      </c>
      <c r="S2" s="65" t="s">
        <v>127</v>
      </c>
      <c r="T2" s="65" t="s">
        <v>32</v>
      </c>
      <c r="U2" s="65" t="s">
        <v>33</v>
      </c>
      <c r="V2" s="65" t="s">
        <v>34</v>
      </c>
      <c r="W2" s="67" t="s">
        <v>35</v>
      </c>
    </row>
    <row r="3" spans="1:23" ht="14.25" customHeight="1" x14ac:dyDescent="0.2">
      <c r="A3" s="57"/>
      <c r="B3" s="3"/>
      <c r="C3" s="3"/>
      <c r="D3" s="3"/>
      <c r="E3" s="3"/>
      <c r="F3" s="35" t="s">
        <v>36</v>
      </c>
      <c r="G3" s="36" t="s">
        <v>36</v>
      </c>
      <c r="H3" s="35" t="s">
        <v>37</v>
      </c>
      <c r="I3" s="35" t="s">
        <v>36</v>
      </c>
      <c r="J3" s="35" t="s">
        <v>36</v>
      </c>
      <c r="K3" s="35" t="s">
        <v>36</v>
      </c>
      <c r="L3" s="35" t="s">
        <v>36</v>
      </c>
      <c r="M3" s="35" t="s">
        <v>36</v>
      </c>
      <c r="N3" s="35" t="s">
        <v>36</v>
      </c>
      <c r="O3" s="35" t="s">
        <v>36</v>
      </c>
      <c r="P3" s="35" t="s">
        <v>36</v>
      </c>
      <c r="Q3" s="35" t="s">
        <v>36</v>
      </c>
      <c r="R3" s="35" t="s">
        <v>36</v>
      </c>
      <c r="S3" s="35"/>
      <c r="T3" s="35" t="s">
        <v>36</v>
      </c>
      <c r="U3" s="35" t="s">
        <v>36</v>
      </c>
      <c r="V3" s="35" t="s">
        <v>36</v>
      </c>
      <c r="W3" s="58" t="s">
        <v>36</v>
      </c>
    </row>
    <row r="4" spans="1:23" x14ac:dyDescent="0.2">
      <c r="A4" s="69" t="s">
        <v>43</v>
      </c>
      <c r="B4" s="10"/>
      <c r="C4" s="10"/>
      <c r="D4" s="10" t="s">
        <v>45</v>
      </c>
      <c r="E4" s="10">
        <v>80</v>
      </c>
      <c r="F4" s="10">
        <v>160</v>
      </c>
      <c r="G4" s="34" t="s">
        <v>54</v>
      </c>
      <c r="H4" s="10">
        <v>15</v>
      </c>
      <c r="I4" s="10">
        <v>20</v>
      </c>
      <c r="J4" s="10">
        <v>0.6</v>
      </c>
      <c r="K4" s="10">
        <v>10</v>
      </c>
      <c r="L4" s="10">
        <v>2</v>
      </c>
      <c r="M4" s="34" t="s">
        <v>54</v>
      </c>
      <c r="N4" s="34" t="s">
        <v>54</v>
      </c>
      <c r="O4" s="34" t="s">
        <v>54</v>
      </c>
      <c r="P4" s="10">
        <v>2</v>
      </c>
      <c r="Q4" s="10">
        <v>0.2</v>
      </c>
      <c r="R4" s="10">
        <v>0.02</v>
      </c>
      <c r="S4" s="10"/>
      <c r="T4" s="10">
        <v>0.2</v>
      </c>
      <c r="U4" s="10">
        <v>0.2</v>
      </c>
      <c r="V4" s="10">
        <v>0.1</v>
      </c>
      <c r="W4" s="70" t="s">
        <v>54</v>
      </c>
    </row>
    <row r="5" spans="1:23" x14ac:dyDescent="0.2">
      <c r="A5" s="57">
        <v>45112</v>
      </c>
      <c r="B5" s="33" t="s">
        <v>113</v>
      </c>
      <c r="C5" s="33" t="s">
        <v>129</v>
      </c>
      <c r="D5" s="3">
        <v>7.1</v>
      </c>
      <c r="E5" s="3">
        <v>55</v>
      </c>
      <c r="F5" s="3">
        <v>435</v>
      </c>
      <c r="G5" s="3">
        <v>16.899999999999999</v>
      </c>
      <c r="H5" s="3">
        <v>8.8000000000000007</v>
      </c>
      <c r="I5" s="91">
        <v>1</v>
      </c>
      <c r="J5" s="91">
        <v>0.02</v>
      </c>
      <c r="K5" s="3">
        <v>4.4000000000000004</v>
      </c>
      <c r="L5" s="3">
        <v>41.4</v>
      </c>
      <c r="M5" s="3">
        <v>0.82</v>
      </c>
      <c r="N5" s="3">
        <v>35.200000000000003</v>
      </c>
      <c r="O5" s="3">
        <v>5.36</v>
      </c>
      <c r="P5" s="3">
        <v>0.28000000000000003</v>
      </c>
      <c r="Q5" s="91">
        <v>0.05</v>
      </c>
      <c r="R5" s="91">
        <v>2E-3</v>
      </c>
      <c r="S5" s="91">
        <v>5.0000000000000001E-3</v>
      </c>
      <c r="T5" s="91">
        <v>0.1</v>
      </c>
      <c r="U5" s="91">
        <v>0.02</v>
      </c>
      <c r="V5" s="3">
        <v>0.09</v>
      </c>
      <c r="W5" s="59">
        <v>0.06</v>
      </c>
    </row>
    <row r="6" spans="1:23" x14ac:dyDescent="0.2">
      <c r="A6" s="60">
        <v>45562</v>
      </c>
      <c r="B6" s="61" t="s">
        <v>113</v>
      </c>
      <c r="C6" s="61" t="s">
        <v>142</v>
      </c>
      <c r="D6" s="62">
        <v>4.6500000000000004</v>
      </c>
      <c r="E6" s="62">
        <v>81.2</v>
      </c>
      <c r="F6" s="62">
        <v>562</v>
      </c>
      <c r="G6" s="62">
        <v>23.6</v>
      </c>
      <c r="H6" s="62">
        <v>2.2999999999999998</v>
      </c>
      <c r="I6" s="62">
        <v>2.6</v>
      </c>
      <c r="J6" s="62">
        <v>0.04</v>
      </c>
      <c r="K6" s="62">
        <v>5.6</v>
      </c>
      <c r="L6" s="62">
        <v>96.9</v>
      </c>
      <c r="M6" s="62">
        <v>0.72</v>
      </c>
      <c r="N6" s="62">
        <v>76.8</v>
      </c>
      <c r="O6" s="62">
        <v>19.399999999999999</v>
      </c>
      <c r="P6" s="62">
        <v>0.1</v>
      </c>
      <c r="Q6" s="92">
        <v>0.05</v>
      </c>
      <c r="R6" s="92">
        <v>2E-3</v>
      </c>
      <c r="S6" s="92">
        <v>5.0000000000000001E-3</v>
      </c>
      <c r="T6" s="92">
        <v>0.1</v>
      </c>
      <c r="U6" s="92">
        <v>0.02</v>
      </c>
      <c r="V6" s="92">
        <v>0.05</v>
      </c>
      <c r="W6" s="63">
        <v>0.36</v>
      </c>
    </row>
    <row r="7" spans="1:23" x14ac:dyDescent="0.2">
      <c r="A7" s="60">
        <v>45910</v>
      </c>
      <c r="B7" s="61" t="s">
        <v>113</v>
      </c>
      <c r="C7" s="61" t="s">
        <v>197</v>
      </c>
      <c r="D7" s="62">
        <v>6.84</v>
      </c>
      <c r="E7" s="62">
        <v>33.6</v>
      </c>
      <c r="F7" s="62">
        <v>410</v>
      </c>
      <c r="G7" s="62">
        <v>15</v>
      </c>
      <c r="H7" s="62">
        <v>6.53</v>
      </c>
      <c r="I7" s="92">
        <v>1</v>
      </c>
      <c r="J7" s="92">
        <v>0.02</v>
      </c>
      <c r="K7" s="62">
        <v>0.6</v>
      </c>
      <c r="L7" s="62">
        <v>57.1</v>
      </c>
      <c r="M7" s="62">
        <v>0.5</v>
      </c>
      <c r="N7" s="62">
        <v>51.9</v>
      </c>
      <c r="O7" s="62">
        <v>5.15</v>
      </c>
      <c r="P7" s="62">
        <v>0.1</v>
      </c>
      <c r="Q7" s="92">
        <v>0.05</v>
      </c>
      <c r="R7" s="92">
        <v>2E-3</v>
      </c>
      <c r="S7" s="92">
        <v>5.0000000000000001E-3</v>
      </c>
      <c r="T7" s="92">
        <v>0.1</v>
      </c>
      <c r="U7" s="92">
        <v>0.02</v>
      </c>
      <c r="V7" s="92">
        <v>0.05</v>
      </c>
      <c r="W7" s="62">
        <v>7.0000000000000007E-2</v>
      </c>
    </row>
    <row r="8" spans="1:23" x14ac:dyDescent="0.2">
      <c r="A8" s="8"/>
      <c r="B8" s="33"/>
      <c r="C8" s="3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">
      <c r="A9" s="8"/>
      <c r="B9" s="33"/>
      <c r="C9" s="3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">
      <c r="A10" s="8"/>
      <c r="B10" s="33"/>
      <c r="C10" s="3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">
      <c r="A11" s="8"/>
      <c r="B11" s="33"/>
      <c r="C11" s="3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8"/>
      <c r="B12" s="33"/>
      <c r="C12" s="3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">
      <c r="A13" s="8"/>
      <c r="B13" s="33"/>
      <c r="C13" s="3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8"/>
      <c r="B14" s="33"/>
      <c r="C14" s="3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">
      <c r="A15" s="8"/>
      <c r="B15" s="33"/>
      <c r="C15" s="3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">
      <c r="A16" s="8"/>
      <c r="B16" s="33"/>
      <c r="C16" s="3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8"/>
      <c r="B17" s="33"/>
      <c r="C17" s="3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8"/>
      <c r="B18" s="33"/>
      <c r="C18" s="3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">
      <c r="A19" s="8"/>
      <c r="B19" s="33"/>
      <c r="C19" s="3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">
      <c r="A20" s="8"/>
      <c r="B20" s="33"/>
      <c r="C20" s="3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">
      <c r="A21" s="8"/>
      <c r="B21" s="33"/>
      <c r="C21" s="3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">
      <c r="A22" s="8"/>
      <c r="B22" s="3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">
      <c r="A23" s="8"/>
      <c r="B23" s="33"/>
      <c r="C23" s="3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8"/>
      <c r="B24" s="33"/>
      <c r="C24" s="3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">
      <c r="A25" s="8"/>
      <c r="B25" s="33"/>
      <c r="C25" s="3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8"/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8"/>
      <c r="B27" s="33"/>
      <c r="C27" s="3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">
      <c r="A28" s="8"/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8"/>
      <c r="B29" s="33"/>
      <c r="C29" s="3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">
      <c r="A30" s="8"/>
      <c r="B30" s="33"/>
      <c r="C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">
      <c r="A31" s="8"/>
      <c r="B31" s="33"/>
      <c r="C31" s="3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">
      <c r="A32" s="8"/>
      <c r="B32" s="33"/>
      <c r="C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2" customHeight="1" x14ac:dyDescent="0.2">
      <c r="A33" s="8"/>
      <c r="B33" s="3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">
      <c r="A34" s="8"/>
      <c r="B34" s="3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">
      <c r="A35" s="8"/>
      <c r="B35" s="3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">
    <mergeCell ref="A1:G1"/>
  </mergeCells>
  <pageMargins left="0.19685039370078741" right="0.19685039370078741" top="0.74803149606299213" bottom="0.74803149606299213" header="0.31496062992125984" footer="0.31496062992125984"/>
  <pageSetup paperSize="9" scale="86" orientation="landscape" r:id="rId1"/>
  <headerFooter>
    <oddHeader>&amp;C&amp;F</oddHeader>
    <oddFooter>&amp;C&amp;A</oddFooter>
  </headerFooter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A867-4AD0-488B-A5DE-74AB94808779}">
  <dimension ref="A1:W37"/>
  <sheetViews>
    <sheetView zoomScaleNormal="100" workbookViewId="0">
      <pane ySplit="2" topLeftCell="A3" activePane="bottomLeft" state="frozen"/>
      <selection activeCell="C1" sqref="C1"/>
      <selection pane="bottomLeft" activeCell="O7" sqref="O7"/>
    </sheetView>
  </sheetViews>
  <sheetFormatPr defaultColWidth="9.140625" defaultRowHeight="12.75" x14ac:dyDescent="0.2"/>
  <cols>
    <col min="1" max="1" width="10.85546875" style="7" bestFit="1" customWidth="1"/>
    <col min="2" max="2" width="9.140625" style="2"/>
    <col min="3" max="3" width="11.7109375" style="2" customWidth="1"/>
    <col min="4" max="23" width="7.7109375" style="2" customWidth="1"/>
    <col min="24" max="16384" width="9.140625" style="2"/>
  </cols>
  <sheetData>
    <row r="1" spans="1:23" ht="25.5" customHeight="1" x14ac:dyDescent="0.2">
      <c r="A1" s="88" t="s">
        <v>71</v>
      </c>
      <c r="B1" s="88"/>
      <c r="C1" s="88"/>
      <c r="D1" s="88"/>
      <c r="E1" s="88"/>
      <c r="F1" s="88"/>
      <c r="G1" s="88"/>
    </row>
    <row r="2" spans="1:23" ht="92.25" x14ac:dyDescent="0.2">
      <c r="A2" s="64" t="s">
        <v>24</v>
      </c>
      <c r="B2" s="65" t="s">
        <v>38</v>
      </c>
      <c r="C2" s="65" t="s">
        <v>39</v>
      </c>
      <c r="D2" s="65" t="s">
        <v>25</v>
      </c>
      <c r="E2" s="65" t="s">
        <v>48</v>
      </c>
      <c r="F2" s="65" t="s">
        <v>26</v>
      </c>
      <c r="G2" s="65" t="s">
        <v>69</v>
      </c>
      <c r="H2" s="65" t="s">
        <v>27</v>
      </c>
      <c r="I2" s="65" t="s">
        <v>28</v>
      </c>
      <c r="J2" s="65" t="s">
        <v>29</v>
      </c>
      <c r="K2" s="65" t="s">
        <v>44</v>
      </c>
      <c r="L2" s="65" t="s">
        <v>30</v>
      </c>
      <c r="M2" s="66" t="s">
        <v>40</v>
      </c>
      <c r="N2" s="66" t="s">
        <v>41</v>
      </c>
      <c r="O2" s="66" t="s">
        <v>42</v>
      </c>
      <c r="P2" s="65" t="s">
        <v>47</v>
      </c>
      <c r="Q2" s="65" t="s">
        <v>31</v>
      </c>
      <c r="R2" s="65" t="s">
        <v>46</v>
      </c>
      <c r="S2" s="65" t="s">
        <v>127</v>
      </c>
      <c r="T2" s="65" t="s">
        <v>32</v>
      </c>
      <c r="U2" s="65" t="s">
        <v>33</v>
      </c>
      <c r="V2" s="65" t="s">
        <v>34</v>
      </c>
      <c r="W2" s="67" t="s">
        <v>35</v>
      </c>
    </row>
    <row r="3" spans="1:23" ht="14.25" customHeight="1" x14ac:dyDescent="0.2">
      <c r="A3" s="57"/>
      <c r="B3" s="3"/>
      <c r="C3" s="3"/>
      <c r="D3" s="3"/>
      <c r="E3" s="3"/>
      <c r="F3" s="35" t="s">
        <v>36</v>
      </c>
      <c r="G3" s="36" t="s">
        <v>36</v>
      </c>
      <c r="H3" s="35" t="s">
        <v>37</v>
      </c>
      <c r="I3" s="35" t="s">
        <v>36</v>
      </c>
      <c r="J3" s="35" t="s">
        <v>36</v>
      </c>
      <c r="K3" s="35" t="s">
        <v>36</v>
      </c>
      <c r="L3" s="35" t="s">
        <v>36</v>
      </c>
      <c r="M3" s="35" t="s">
        <v>36</v>
      </c>
      <c r="N3" s="35" t="s">
        <v>36</v>
      </c>
      <c r="O3" s="35" t="s">
        <v>36</v>
      </c>
      <c r="P3" s="35" t="s">
        <v>36</v>
      </c>
      <c r="Q3" s="35" t="s">
        <v>36</v>
      </c>
      <c r="R3" s="35" t="s">
        <v>36</v>
      </c>
      <c r="S3" s="35"/>
      <c r="T3" s="35" t="s">
        <v>36</v>
      </c>
      <c r="U3" s="35" t="s">
        <v>36</v>
      </c>
      <c r="V3" s="35" t="s">
        <v>36</v>
      </c>
      <c r="W3" s="58" t="s">
        <v>36</v>
      </c>
    </row>
    <row r="4" spans="1:23" x14ac:dyDescent="0.2">
      <c r="A4" s="69" t="s">
        <v>43</v>
      </c>
      <c r="B4" s="10"/>
      <c r="C4" s="10"/>
      <c r="D4" s="10" t="s">
        <v>45</v>
      </c>
      <c r="E4" s="10">
        <v>80</v>
      </c>
      <c r="F4" s="10">
        <v>160</v>
      </c>
      <c r="G4" s="34" t="s">
        <v>54</v>
      </c>
      <c r="H4" s="10">
        <v>15</v>
      </c>
      <c r="I4" s="10">
        <v>20</v>
      </c>
      <c r="J4" s="10">
        <v>0.6</v>
      </c>
      <c r="K4" s="10">
        <v>10</v>
      </c>
      <c r="L4" s="10">
        <v>2</v>
      </c>
      <c r="M4" s="34" t="s">
        <v>54</v>
      </c>
      <c r="N4" s="34" t="s">
        <v>54</v>
      </c>
      <c r="O4" s="34" t="s">
        <v>54</v>
      </c>
      <c r="P4" s="10">
        <v>2</v>
      </c>
      <c r="Q4" s="10">
        <v>0.2</v>
      </c>
      <c r="R4" s="10">
        <v>0.02</v>
      </c>
      <c r="S4" s="10"/>
      <c r="T4" s="10">
        <v>0.2</v>
      </c>
      <c r="U4" s="10">
        <v>0.2</v>
      </c>
      <c r="V4" s="10">
        <v>0.1</v>
      </c>
      <c r="W4" s="70" t="s">
        <v>54</v>
      </c>
    </row>
    <row r="5" spans="1:23" x14ac:dyDescent="0.2">
      <c r="A5" s="57">
        <v>45112</v>
      </c>
      <c r="B5" s="33" t="s">
        <v>113</v>
      </c>
      <c r="C5" s="33" t="s">
        <v>128</v>
      </c>
      <c r="D5" s="3">
        <v>6.7</v>
      </c>
      <c r="E5" s="3">
        <v>36.58</v>
      </c>
      <c r="F5" s="3">
        <v>155</v>
      </c>
      <c r="G5" s="3">
        <v>12.1</v>
      </c>
      <c r="H5" s="3">
        <v>7.7</v>
      </c>
      <c r="I5" s="91">
        <v>1</v>
      </c>
      <c r="J5" s="91">
        <v>0.02</v>
      </c>
      <c r="K5" s="3">
        <v>0.63</v>
      </c>
      <c r="L5" s="3">
        <v>22.6</v>
      </c>
      <c r="M5" s="91">
        <v>0.5</v>
      </c>
      <c r="N5" s="3">
        <v>21.7</v>
      </c>
      <c r="O5" s="3">
        <v>0.87</v>
      </c>
      <c r="P5" s="91">
        <v>0.1</v>
      </c>
      <c r="Q5" s="91">
        <v>0.05</v>
      </c>
      <c r="R5" s="91">
        <v>2E-3</v>
      </c>
      <c r="S5" s="91">
        <v>5.0000000000000001E-3</v>
      </c>
      <c r="T5" s="91">
        <v>0.1</v>
      </c>
      <c r="U5" s="91">
        <v>0.02</v>
      </c>
      <c r="V5" s="91">
        <v>0.05</v>
      </c>
      <c r="W5" s="59">
        <v>7.0000000000000007E-2</v>
      </c>
    </row>
    <row r="6" spans="1:23" x14ac:dyDescent="0.2">
      <c r="A6" s="60">
        <v>45562</v>
      </c>
      <c r="B6" s="61" t="s">
        <v>113</v>
      </c>
      <c r="C6" s="61" t="s">
        <v>143</v>
      </c>
      <c r="D6" s="62">
        <v>6.4</v>
      </c>
      <c r="E6" s="62">
        <v>32.6</v>
      </c>
      <c r="F6" s="62">
        <v>89.8</v>
      </c>
      <c r="G6" s="62">
        <v>10</v>
      </c>
      <c r="H6" s="62">
        <v>2.2999999999999998</v>
      </c>
      <c r="I6" s="92">
        <v>1</v>
      </c>
      <c r="J6" s="62">
        <v>0.61</v>
      </c>
      <c r="K6" s="62">
        <v>0.34</v>
      </c>
      <c r="L6" s="62">
        <v>4.9000000000000004</v>
      </c>
      <c r="M6" s="92">
        <v>0.5</v>
      </c>
      <c r="N6" s="62">
        <v>4.4800000000000004</v>
      </c>
      <c r="O6" s="62">
        <v>0.46</v>
      </c>
      <c r="P6" s="92">
        <v>0.1</v>
      </c>
      <c r="Q6" s="92">
        <v>0.05</v>
      </c>
      <c r="R6" s="92">
        <v>2E-3</v>
      </c>
      <c r="S6" s="92">
        <v>5.0000000000000001E-3</v>
      </c>
      <c r="T6" s="92">
        <v>0.1</v>
      </c>
      <c r="U6" s="92">
        <v>0.02</v>
      </c>
      <c r="V6" s="92">
        <v>0.05</v>
      </c>
      <c r="W6" s="63">
        <v>0.05</v>
      </c>
    </row>
    <row r="7" spans="1:23" x14ac:dyDescent="0.2">
      <c r="A7" s="60">
        <v>45910</v>
      </c>
      <c r="B7" s="61" t="s">
        <v>113</v>
      </c>
      <c r="C7" s="61" t="s">
        <v>198</v>
      </c>
      <c r="D7" s="62">
        <v>6.74</v>
      </c>
      <c r="E7" s="62">
        <v>48.4</v>
      </c>
      <c r="F7" s="62">
        <v>345</v>
      </c>
      <c r="G7" s="62">
        <v>14.8</v>
      </c>
      <c r="H7" s="62">
        <v>3.88</v>
      </c>
      <c r="I7" s="92">
        <v>1</v>
      </c>
      <c r="J7" s="92">
        <v>0.02</v>
      </c>
      <c r="K7" s="62">
        <v>0.97</v>
      </c>
      <c r="L7" s="62">
        <v>23</v>
      </c>
      <c r="M7" s="92">
        <v>0.5</v>
      </c>
      <c r="N7" s="62">
        <v>21.8</v>
      </c>
      <c r="O7" s="62">
        <v>1.23</v>
      </c>
      <c r="P7" s="92">
        <v>0.1</v>
      </c>
      <c r="Q7" s="92">
        <v>0.05</v>
      </c>
      <c r="R7" s="92">
        <v>2E-3</v>
      </c>
      <c r="S7" s="92">
        <v>5.0000000000000001E-3</v>
      </c>
      <c r="T7" s="92">
        <v>0.1</v>
      </c>
      <c r="U7" s="92">
        <v>0.02</v>
      </c>
      <c r="V7" s="92">
        <v>0.05</v>
      </c>
      <c r="W7" s="62">
        <v>0.08</v>
      </c>
    </row>
    <row r="8" spans="1:23" x14ac:dyDescent="0.2">
      <c r="A8" s="8"/>
      <c r="B8" s="33"/>
      <c r="C8" s="3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">
      <c r="A9" s="8"/>
      <c r="B9" s="33"/>
      <c r="C9" s="3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">
      <c r="A10" s="8"/>
      <c r="B10" s="33"/>
      <c r="C10" s="3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">
      <c r="A11" s="8"/>
      <c r="B11" s="33"/>
      <c r="C11" s="3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8"/>
      <c r="B12" s="33"/>
      <c r="C12" s="3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">
      <c r="A13" s="8"/>
      <c r="B13" s="33"/>
      <c r="C13" s="3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8"/>
      <c r="B14" s="33"/>
      <c r="C14" s="3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">
      <c r="A15" s="8"/>
      <c r="B15" s="33"/>
      <c r="C15" s="3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">
      <c r="A16" s="8"/>
      <c r="B16" s="33"/>
      <c r="C16" s="3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8"/>
      <c r="B17" s="33"/>
      <c r="C17" s="3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8"/>
      <c r="B18" s="33"/>
      <c r="C18" s="3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">
      <c r="A19" s="8"/>
      <c r="B19" s="33"/>
      <c r="C19" s="3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">
      <c r="A20" s="8"/>
      <c r="B20" s="33"/>
      <c r="C20" s="3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">
      <c r="A21" s="8"/>
      <c r="B21" s="33"/>
      <c r="C21" s="3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">
      <c r="A22" s="8"/>
      <c r="B22" s="3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">
      <c r="A23" s="8"/>
      <c r="B23" s="33"/>
      <c r="C23" s="3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8"/>
      <c r="B24" s="33"/>
      <c r="C24" s="3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">
      <c r="A25" s="8"/>
      <c r="B25" s="33"/>
      <c r="C25" s="3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8"/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8"/>
      <c r="B27" s="33"/>
      <c r="C27" s="3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">
      <c r="A28" s="8"/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8"/>
      <c r="B29" s="33"/>
      <c r="C29" s="3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">
      <c r="A30" s="8"/>
      <c r="B30" s="33"/>
      <c r="C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">
      <c r="A31" s="8"/>
      <c r="B31" s="33"/>
      <c r="C31" s="3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">
      <c r="A32" s="8"/>
      <c r="B32" s="33"/>
      <c r="C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2" customHeight="1" x14ac:dyDescent="0.2">
      <c r="A33" s="8"/>
      <c r="B33" s="3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">
      <c r="A34" s="8"/>
      <c r="B34" s="3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">
      <c r="A35" s="8"/>
      <c r="B35" s="3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">
    <mergeCell ref="A1:G1"/>
  </mergeCells>
  <pageMargins left="0.19685039370078741" right="0.19685039370078741" top="0.74803149606299213" bottom="0.74803149606299213" header="0.31496062992125984" footer="0.31496062992125984"/>
  <pageSetup paperSize="9" scale="86" orientation="landscape" r:id="rId1"/>
  <headerFooter>
    <oddHeader>&amp;C&amp;F</oddHeader>
    <oddFooter>&amp;C&amp;A</oddFooter>
  </headerFooter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FB24-BBA8-4517-840F-84C2D2456496}">
  <dimension ref="A1:W37"/>
  <sheetViews>
    <sheetView zoomScaleNormal="100" workbookViewId="0">
      <pane ySplit="2" topLeftCell="A3" activePane="bottomLeft" state="frozen"/>
      <selection activeCell="C1" sqref="C1"/>
      <selection pane="bottomLeft" activeCell="L7" sqref="L7"/>
    </sheetView>
  </sheetViews>
  <sheetFormatPr defaultColWidth="9.140625" defaultRowHeight="12.75" x14ac:dyDescent="0.2"/>
  <cols>
    <col min="1" max="1" width="10.85546875" style="7" bestFit="1" customWidth="1"/>
    <col min="2" max="2" width="9.140625" style="2"/>
    <col min="3" max="3" width="11.7109375" style="2" customWidth="1"/>
    <col min="4" max="23" width="7.7109375" style="2" customWidth="1"/>
    <col min="24" max="16384" width="9.140625" style="2"/>
  </cols>
  <sheetData>
    <row r="1" spans="1:23" ht="25.5" customHeight="1" x14ac:dyDescent="0.2">
      <c r="A1" s="89" t="s">
        <v>70</v>
      </c>
      <c r="B1" s="89"/>
      <c r="C1" s="89"/>
      <c r="D1" s="89"/>
      <c r="E1" s="89"/>
      <c r="F1" s="89"/>
      <c r="G1" s="89"/>
      <c r="H1" s="41"/>
      <c r="I1" s="41"/>
      <c r="J1" s="41"/>
    </row>
    <row r="2" spans="1:23" ht="92.25" x14ac:dyDescent="0.2">
      <c r="A2" s="64" t="s">
        <v>24</v>
      </c>
      <c r="B2" s="65" t="s">
        <v>38</v>
      </c>
      <c r="C2" s="65" t="s">
        <v>39</v>
      </c>
      <c r="D2" s="65" t="s">
        <v>25</v>
      </c>
      <c r="E2" s="65" t="s">
        <v>48</v>
      </c>
      <c r="F2" s="65" t="s">
        <v>26</v>
      </c>
      <c r="G2" s="65" t="s">
        <v>69</v>
      </c>
      <c r="H2" s="65" t="s">
        <v>27</v>
      </c>
      <c r="I2" s="65" t="s">
        <v>28</v>
      </c>
      <c r="J2" s="65" t="s">
        <v>29</v>
      </c>
      <c r="K2" s="65" t="s">
        <v>44</v>
      </c>
      <c r="L2" s="65" t="s">
        <v>30</v>
      </c>
      <c r="M2" s="66" t="s">
        <v>40</v>
      </c>
      <c r="N2" s="66" t="s">
        <v>41</v>
      </c>
      <c r="O2" s="66" t="s">
        <v>42</v>
      </c>
      <c r="P2" s="65" t="s">
        <v>47</v>
      </c>
      <c r="Q2" s="65" t="s">
        <v>31</v>
      </c>
      <c r="R2" s="65" t="s">
        <v>46</v>
      </c>
      <c r="S2" s="65" t="s">
        <v>127</v>
      </c>
      <c r="T2" s="65" t="s">
        <v>32</v>
      </c>
      <c r="U2" s="65" t="s">
        <v>33</v>
      </c>
      <c r="V2" s="65" t="s">
        <v>34</v>
      </c>
      <c r="W2" s="67" t="s">
        <v>35</v>
      </c>
    </row>
    <row r="3" spans="1:23" ht="14.25" customHeight="1" x14ac:dyDescent="0.2">
      <c r="A3" s="57"/>
      <c r="B3" s="3"/>
      <c r="C3" s="3"/>
      <c r="D3" s="3"/>
      <c r="E3" s="3"/>
      <c r="F3" s="35" t="s">
        <v>36</v>
      </c>
      <c r="G3" s="36" t="s">
        <v>36</v>
      </c>
      <c r="H3" s="35" t="s">
        <v>37</v>
      </c>
      <c r="I3" s="35" t="s">
        <v>36</v>
      </c>
      <c r="J3" s="35" t="s">
        <v>36</v>
      </c>
      <c r="K3" s="35" t="s">
        <v>36</v>
      </c>
      <c r="L3" s="35" t="s">
        <v>36</v>
      </c>
      <c r="M3" s="35" t="s">
        <v>36</v>
      </c>
      <c r="N3" s="35" t="s">
        <v>36</v>
      </c>
      <c r="O3" s="35" t="s">
        <v>36</v>
      </c>
      <c r="P3" s="35" t="s">
        <v>36</v>
      </c>
      <c r="Q3" s="35" t="s">
        <v>36</v>
      </c>
      <c r="R3" s="35" t="s">
        <v>36</v>
      </c>
      <c r="S3" s="36" t="s">
        <v>36</v>
      </c>
      <c r="T3" s="35" t="s">
        <v>36</v>
      </c>
      <c r="U3" s="35" t="s">
        <v>36</v>
      </c>
      <c r="V3" s="35" t="s">
        <v>36</v>
      </c>
      <c r="W3" s="58" t="s">
        <v>36</v>
      </c>
    </row>
    <row r="4" spans="1:23" x14ac:dyDescent="0.2">
      <c r="A4" s="69" t="s">
        <v>43</v>
      </c>
      <c r="B4" s="10"/>
      <c r="C4" s="10"/>
      <c r="D4" s="10" t="s">
        <v>45</v>
      </c>
      <c r="E4" s="10">
        <v>80</v>
      </c>
      <c r="F4" s="10">
        <v>160</v>
      </c>
      <c r="G4" s="34" t="s">
        <v>54</v>
      </c>
      <c r="H4" s="10">
        <v>15</v>
      </c>
      <c r="I4" s="10">
        <v>20</v>
      </c>
      <c r="J4" s="10">
        <v>0.6</v>
      </c>
      <c r="K4" s="10">
        <v>10</v>
      </c>
      <c r="L4" s="10">
        <v>2</v>
      </c>
      <c r="M4" s="34" t="s">
        <v>54</v>
      </c>
      <c r="N4" s="34" t="s">
        <v>54</v>
      </c>
      <c r="O4" s="34" t="s">
        <v>54</v>
      </c>
      <c r="P4" s="10">
        <v>2</v>
      </c>
      <c r="Q4" s="10">
        <v>0.2</v>
      </c>
      <c r="R4" s="10">
        <v>0.02</v>
      </c>
      <c r="S4" s="10"/>
      <c r="T4" s="10">
        <v>0.2</v>
      </c>
      <c r="U4" s="10">
        <v>0.2</v>
      </c>
      <c r="V4" s="10">
        <v>0.1</v>
      </c>
      <c r="W4" s="70" t="s">
        <v>54</v>
      </c>
    </row>
    <row r="5" spans="1:23" x14ac:dyDescent="0.2">
      <c r="A5" s="57">
        <v>45112</v>
      </c>
      <c r="B5" s="33" t="s">
        <v>113</v>
      </c>
      <c r="C5" s="33" t="s">
        <v>126</v>
      </c>
      <c r="D5" s="3">
        <v>7.3</v>
      </c>
      <c r="E5" s="3">
        <v>59.8</v>
      </c>
      <c r="F5" s="3">
        <v>524</v>
      </c>
      <c r="G5" s="3">
        <v>0.02</v>
      </c>
      <c r="H5" s="3">
        <v>46.9</v>
      </c>
      <c r="I5" s="3">
        <v>37.799999999999997</v>
      </c>
      <c r="J5" s="3">
        <v>1</v>
      </c>
      <c r="K5" s="3">
        <v>9.9</v>
      </c>
      <c r="L5" s="3">
        <v>52</v>
      </c>
      <c r="M5" s="3">
        <v>0.5</v>
      </c>
      <c r="N5" s="3">
        <v>46.7</v>
      </c>
      <c r="O5" s="3">
        <v>5.34</v>
      </c>
      <c r="P5" s="3">
        <v>0.12</v>
      </c>
      <c r="Q5" s="91">
        <v>0.05</v>
      </c>
      <c r="R5" s="91">
        <v>2E-3</v>
      </c>
      <c r="S5" s="91">
        <v>5.0000000000000001E-3</v>
      </c>
      <c r="T5" s="91">
        <v>0.1</v>
      </c>
      <c r="U5" s="91">
        <v>0.02</v>
      </c>
      <c r="V5" s="91">
        <v>0.05</v>
      </c>
      <c r="W5" s="59">
        <v>0.25</v>
      </c>
    </row>
    <row r="6" spans="1:23" x14ac:dyDescent="0.2">
      <c r="A6" s="60">
        <v>45562</v>
      </c>
      <c r="B6" s="61" t="s">
        <v>113</v>
      </c>
      <c r="C6" s="74">
        <v>45562</v>
      </c>
      <c r="D6" s="62">
        <v>7.45</v>
      </c>
      <c r="E6" s="62">
        <v>40.200000000000003</v>
      </c>
      <c r="F6" s="62">
        <v>298</v>
      </c>
      <c r="G6" s="62">
        <v>39.4</v>
      </c>
      <c r="H6" s="62">
        <v>45.6</v>
      </c>
      <c r="I6" s="92">
        <v>1</v>
      </c>
      <c r="J6" s="92">
        <v>0.02</v>
      </c>
      <c r="K6" s="62">
        <v>3.4</v>
      </c>
      <c r="L6" s="62">
        <v>51.9</v>
      </c>
      <c r="M6" s="62">
        <v>1.1000000000000001</v>
      </c>
      <c r="N6" s="62">
        <v>47.1</v>
      </c>
      <c r="O6" s="62">
        <v>3.68</v>
      </c>
      <c r="P6" s="92">
        <v>0.1</v>
      </c>
      <c r="Q6" s="92">
        <v>0.05</v>
      </c>
      <c r="R6" s="92">
        <v>2E-3</v>
      </c>
      <c r="S6" s="92">
        <v>5.0000000000000001E-3</v>
      </c>
      <c r="T6" s="92">
        <v>0.1</v>
      </c>
      <c r="U6" s="92">
        <v>0.02</v>
      </c>
      <c r="V6" s="92">
        <v>0.05</v>
      </c>
      <c r="W6" s="63">
        <v>7.0000000000000007E-2</v>
      </c>
    </row>
    <row r="7" spans="1:23" x14ac:dyDescent="0.2">
      <c r="A7" s="60">
        <v>45910</v>
      </c>
      <c r="B7" s="61" t="s">
        <v>113</v>
      </c>
      <c r="C7" s="61" t="s">
        <v>199</v>
      </c>
      <c r="D7" s="62">
        <v>7.67</v>
      </c>
      <c r="E7" s="62">
        <v>52.2</v>
      </c>
      <c r="F7" s="62">
        <v>484</v>
      </c>
      <c r="G7" s="62">
        <v>41.4</v>
      </c>
      <c r="H7" s="62">
        <v>28.7</v>
      </c>
      <c r="I7" s="92">
        <v>1</v>
      </c>
      <c r="J7" s="92">
        <v>0.02</v>
      </c>
      <c r="K7" s="62">
        <v>1.4</v>
      </c>
      <c r="L7" s="62">
        <v>53.9</v>
      </c>
      <c r="M7" s="62">
        <v>0.55000000000000004</v>
      </c>
      <c r="N7" s="62">
        <v>48.9</v>
      </c>
      <c r="O7" s="62">
        <v>4.45</v>
      </c>
      <c r="P7" s="92">
        <v>0.1</v>
      </c>
      <c r="Q7" s="92">
        <v>0.05</v>
      </c>
      <c r="R7" s="92">
        <v>2E-3</v>
      </c>
      <c r="S7" s="92">
        <v>5.0000000000000001E-3</v>
      </c>
      <c r="T7" s="92">
        <v>0.1</v>
      </c>
      <c r="U7" s="92">
        <v>0.02</v>
      </c>
      <c r="V7" s="92">
        <v>0.05</v>
      </c>
      <c r="W7" s="62">
        <v>0.21</v>
      </c>
    </row>
    <row r="8" spans="1:23" x14ac:dyDescent="0.2">
      <c r="A8" s="8"/>
      <c r="B8" s="33"/>
      <c r="C8" s="3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">
      <c r="A9" s="8"/>
      <c r="B9" s="33"/>
      <c r="C9" s="3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">
      <c r="A10" s="8"/>
      <c r="B10" s="33"/>
      <c r="C10" s="3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">
      <c r="A11" s="8"/>
      <c r="B11" s="33"/>
      <c r="C11" s="3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8"/>
      <c r="B12" s="33"/>
      <c r="C12" s="3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">
      <c r="A13" s="8"/>
      <c r="B13" s="33"/>
      <c r="C13" s="3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8"/>
      <c r="B14" s="33"/>
      <c r="C14" s="3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">
      <c r="A15" s="8"/>
      <c r="B15" s="33"/>
      <c r="C15" s="3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">
      <c r="A16" s="8"/>
      <c r="B16" s="33"/>
      <c r="C16" s="3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">
      <c r="A17" s="8"/>
      <c r="B17" s="33"/>
      <c r="C17" s="3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">
      <c r="A18" s="8"/>
      <c r="B18" s="33"/>
      <c r="C18" s="3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">
      <c r="A19" s="8"/>
      <c r="B19" s="33"/>
      <c r="C19" s="3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">
      <c r="A20" s="8"/>
      <c r="B20" s="33"/>
      <c r="C20" s="3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">
      <c r="A21" s="8"/>
      <c r="B21" s="33"/>
      <c r="C21" s="3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2">
      <c r="A22" s="8"/>
      <c r="B22" s="3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">
      <c r="A23" s="8"/>
      <c r="B23" s="33"/>
      <c r="C23" s="3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">
      <c r="A24" s="8"/>
      <c r="B24" s="33"/>
      <c r="C24" s="3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">
      <c r="A25" s="8"/>
      <c r="B25" s="33"/>
      <c r="C25" s="3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">
      <c r="A26" s="8"/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">
      <c r="A27" s="8"/>
      <c r="B27" s="33"/>
      <c r="C27" s="3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">
      <c r="A28" s="8"/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">
      <c r="A29" s="8"/>
      <c r="B29" s="33"/>
      <c r="C29" s="3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">
      <c r="A30" s="8"/>
      <c r="B30" s="33"/>
      <c r="C30" s="3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">
      <c r="A31" s="8"/>
      <c r="B31" s="33"/>
      <c r="C31" s="3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2">
      <c r="A32" s="8"/>
      <c r="B32" s="33"/>
      <c r="C32" s="3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2" customHeight="1" x14ac:dyDescent="0.2">
      <c r="A33" s="8"/>
      <c r="B33" s="3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2">
      <c r="A34" s="8"/>
      <c r="B34" s="3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2">
      <c r="A35" s="8"/>
      <c r="B35" s="3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2">
      <c r="A36" s="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2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">
    <mergeCell ref="A1:G1"/>
  </mergeCells>
  <pageMargins left="0.19685039370078741" right="0.19685039370078741" top="0.74803149606299213" bottom="0.74803149606299213" header="0.31496062992125984" footer="0.31496062992125984"/>
  <pageSetup paperSize="9" scale="86" orientation="landscape" r:id="rId1"/>
  <headerFooter>
    <oddHeader>&amp;C&amp;F</oddHeader>
    <oddFooter>&amp;C&amp;A</oddFooter>
  </headerFooter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"/>
  <sheetViews>
    <sheetView workbookViewId="0">
      <selection activeCell="H3" sqref="H3"/>
    </sheetView>
  </sheetViews>
  <sheetFormatPr defaultColWidth="9.140625" defaultRowHeight="15" x14ac:dyDescent="0.2"/>
  <cols>
    <col min="1" max="1" width="19.85546875" style="14" bestFit="1" customWidth="1"/>
    <col min="2" max="2" width="14.5703125" style="14" customWidth="1"/>
    <col min="3" max="3" width="13.7109375" style="14" customWidth="1"/>
    <col min="4" max="4" width="19.42578125" style="14" bestFit="1" customWidth="1"/>
    <col min="5" max="5" width="14.42578125" style="14" customWidth="1"/>
    <col min="6" max="6" width="13.85546875" style="14" customWidth="1"/>
    <col min="7" max="7" width="13.42578125" style="14" customWidth="1"/>
    <col min="8" max="8" width="14.28515625" style="14" customWidth="1"/>
    <col min="9" max="9" width="13.85546875" style="14" customWidth="1"/>
    <col min="10" max="10" width="14" style="14" customWidth="1"/>
    <col min="11" max="11" width="12.140625" style="14" customWidth="1"/>
    <col min="12" max="12" width="15.28515625" style="14" customWidth="1"/>
    <col min="13" max="13" width="11.42578125" style="14" customWidth="1"/>
    <col min="14" max="16384" width="9.140625" style="14"/>
  </cols>
  <sheetData>
    <row r="1" spans="1:11" ht="30.75" customHeight="1" x14ac:dyDescent="0.2">
      <c r="A1" s="90" t="s">
        <v>92</v>
      </c>
      <c r="B1" s="90"/>
    </row>
    <row r="2" spans="1:11" ht="30.75" customHeight="1" x14ac:dyDescent="0.2">
      <c r="A2" s="14" t="s">
        <v>15</v>
      </c>
      <c r="B2" s="14" t="s">
        <v>16</v>
      </c>
      <c r="C2" s="14" t="s">
        <v>19</v>
      </c>
      <c r="D2" s="14" t="s">
        <v>17</v>
      </c>
      <c r="E2" s="14" t="s">
        <v>50</v>
      </c>
      <c r="F2" s="39" t="s">
        <v>86</v>
      </c>
      <c r="G2" s="39" t="s">
        <v>87</v>
      </c>
      <c r="H2" s="39" t="s">
        <v>88</v>
      </c>
      <c r="I2" s="39" t="s">
        <v>89</v>
      </c>
      <c r="J2" s="39" t="s">
        <v>90</v>
      </c>
      <c r="K2" s="39" t="s">
        <v>91</v>
      </c>
    </row>
    <row r="3" spans="1:11" ht="75" x14ac:dyDescent="0.2">
      <c r="A3" s="54" t="s">
        <v>51</v>
      </c>
      <c r="B3" s="16" t="s">
        <v>52</v>
      </c>
      <c r="C3" s="14" t="s">
        <v>18</v>
      </c>
      <c r="D3" s="55" t="s">
        <v>108</v>
      </c>
      <c r="E3" s="14" t="s">
        <v>53</v>
      </c>
      <c r="F3" s="17">
        <v>203760</v>
      </c>
      <c r="G3" s="15">
        <v>190360</v>
      </c>
      <c r="H3" s="15">
        <v>143240</v>
      </c>
      <c r="I3" s="15"/>
      <c r="J3" s="15"/>
      <c r="K3" s="19"/>
    </row>
  </sheetData>
  <mergeCells count="1">
    <mergeCell ref="A1:B1"/>
  </mergeCells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Prodotti chimici</vt:lpstr>
      <vt:lpstr>Energia Elettrica</vt:lpstr>
      <vt:lpstr>Scarico Idrico</vt:lpstr>
      <vt:lpstr>Analisi H2O - IN Dep.</vt:lpstr>
      <vt:lpstr>Analisi H2O - OUT dep 4</vt:lpstr>
      <vt:lpstr>Analisi H2O - IN Cervinia 3</vt:lpstr>
      <vt:lpstr>Analisi H2O - IN Lanificio 2</vt:lpstr>
      <vt:lpstr>Analisi H2O - IN Filat 1</vt:lpstr>
      <vt:lpstr>Rifiuti</vt:lpstr>
      <vt:lpstr>Indicatori</vt:lpstr>
      <vt:lpstr>Indicatori!Print_Area</vt:lpstr>
    </vt:vector>
  </TitlesOfParts>
  <Company>Crab Medicina Ambiente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DComunia</dc:creator>
  <cp:lastModifiedBy>Monte Alice</cp:lastModifiedBy>
  <cp:lastPrinted>2019-03-14T15:27:14Z</cp:lastPrinted>
  <dcterms:created xsi:type="dcterms:W3CDTF">2006-09-15T06:46:19Z</dcterms:created>
  <dcterms:modified xsi:type="dcterms:W3CDTF">2026-04-29T10:06:28Z</dcterms:modified>
</cp:coreProperties>
</file>