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2012A\SilviaBasso\Desktop\SILVIA\CRAB SRL\IPPC 2010\REPORT IPPC\x relazione anno 2025\report inviato\"/>
    </mc:Choice>
  </mc:AlternateContent>
  <xr:revisionPtr revIDLastSave="0" documentId="13_ncr:1_{911652CB-C19D-4281-BEEF-CBE199B83149}" xr6:coauthVersionLast="47" xr6:coauthVersionMax="47" xr10:uidLastSave="{00000000-0000-0000-0000-000000000000}"/>
  <bookViews>
    <workbookView xWindow="-120" yWindow="-120" windowWidth="29040" windowHeight="15840" tabRatio="724" xr2:uid="{00000000-000D-0000-FFFF-FFFF00000000}"/>
  </bookViews>
  <sheets>
    <sheet name="Produzione" sheetId="1" r:id="rId1"/>
    <sheet name="Scarico idrico" sheetId="34" r:id="rId2"/>
    <sheet name="Approvvigionamento idrico" sheetId="22" r:id="rId3"/>
    <sheet name="Energia Elettrica" sheetId="35" r:id="rId4"/>
    <sheet name="Energia Termica" sheetId="40" r:id="rId5"/>
    <sheet name="Rifiuti" sheetId="29" r:id="rId6"/>
    <sheet name="Analisi Emissioni" sheetId="38" r:id="rId7"/>
    <sheet name="Indicatori" sheetId="33" r:id="rId8"/>
  </sheets>
  <externalReferences>
    <externalReference r:id="rId9"/>
  </externalReferences>
  <definedNames>
    <definedName name="C_mixsolv">#REF!</definedName>
    <definedName name="incremento_capacità_prod2015">#REF!</definedName>
    <definedName name="PM_C">#REF!</definedName>
    <definedName name="Print_Area" localSheetId="2">'Approvvigionamento idrico'!#REF!,'Approvvigionamento idrico'!$A$10:$I$12</definedName>
    <definedName name="Print_Area" localSheetId="3">'Energia Elettrica'!#REF!</definedName>
    <definedName name="Print_Area" localSheetId="4">'Energia Termica'!#REF!</definedName>
    <definedName name="Print_Area" localSheetId="7">Indicatori!$A$3:$C$16</definedName>
    <definedName name="Tab_Metano_SoloCoReale" localSheetId="6">[1]!Tab_Metano_Reale[#Data]</definedName>
    <definedName name="Tab_Metano_SoloCoReale">#REF!</definedName>
  </definedNames>
  <calcPr calcId="191029"/>
</workbook>
</file>

<file path=xl/calcChain.xml><?xml version="1.0" encoding="utf-8"?>
<calcChain xmlns="http://schemas.openxmlformats.org/spreadsheetml/2006/main">
  <c r="G29" i="29" l="1"/>
  <c r="G28" i="29"/>
  <c r="F29" i="29"/>
  <c r="E29" i="29"/>
  <c r="D29" i="29"/>
  <c r="C29" i="29"/>
  <c r="B29" i="29"/>
  <c r="E44" i="40"/>
  <c r="F27" i="40"/>
  <c r="E27" i="40"/>
  <c r="D27" i="40"/>
  <c r="D28" i="40"/>
  <c r="D29" i="40"/>
  <c r="D30" i="40"/>
  <c r="D31" i="40"/>
  <c r="D32" i="40"/>
  <c r="D33" i="40"/>
  <c r="D34" i="40"/>
  <c r="D35" i="40"/>
  <c r="D36" i="40"/>
  <c r="D37" i="40"/>
  <c r="D38" i="40"/>
  <c r="G13" i="33"/>
  <c r="D13" i="33"/>
  <c r="G12" i="33"/>
  <c r="G11" i="33"/>
  <c r="G10" i="33"/>
  <c r="G9" i="33"/>
  <c r="G8" i="33"/>
  <c r="G7" i="33"/>
  <c r="G6" i="33"/>
  <c r="G5" i="33"/>
  <c r="G4" i="33"/>
  <c r="E28" i="40" l="1"/>
  <c r="E29" i="40"/>
  <c r="E30" i="40"/>
  <c r="E31" i="40"/>
  <c r="E32" i="40"/>
  <c r="E33" i="40"/>
  <c r="E34" i="40"/>
  <c r="E35" i="40"/>
  <c r="E36" i="40"/>
  <c r="E37" i="40"/>
  <c r="E38" i="40"/>
  <c r="F39" i="40"/>
  <c r="F38" i="40"/>
  <c r="F55" i="40" s="1"/>
  <c r="F28" i="40"/>
  <c r="F45" i="40" s="1"/>
  <c r="F29" i="40"/>
  <c r="F46" i="40" s="1"/>
  <c r="F30" i="40"/>
  <c r="F47" i="40" s="1"/>
  <c r="F31" i="40"/>
  <c r="F48" i="40" s="1"/>
  <c r="F32" i="40"/>
  <c r="F49" i="40" s="1"/>
  <c r="F33" i="40"/>
  <c r="F50" i="40" s="1"/>
  <c r="F34" i="40"/>
  <c r="F51" i="40" s="1"/>
  <c r="F35" i="40"/>
  <c r="F52" i="40" s="1"/>
  <c r="F36" i="40"/>
  <c r="F53" i="40" s="1"/>
  <c r="F37" i="40"/>
  <c r="F54" i="40" s="1"/>
  <c r="F44" i="40"/>
  <c r="F17" i="35"/>
  <c r="C47" i="40" l="1"/>
  <c r="H56" i="40"/>
  <c r="G56" i="40"/>
  <c r="F56" i="40"/>
  <c r="D44" i="40"/>
  <c r="E45" i="40"/>
  <c r="E46" i="40"/>
  <c r="E47" i="40"/>
  <c r="E48" i="40"/>
  <c r="E49" i="40"/>
  <c r="E50" i="40"/>
  <c r="E51" i="40"/>
  <c r="E52" i="40"/>
  <c r="E53" i="40"/>
  <c r="E54" i="40"/>
  <c r="E55" i="40"/>
  <c r="D46" i="40"/>
  <c r="D47" i="40"/>
  <c r="D48" i="40"/>
  <c r="D49" i="40"/>
  <c r="D50" i="40"/>
  <c r="D51" i="40"/>
  <c r="D52" i="40"/>
  <c r="D53" i="40"/>
  <c r="D54" i="40"/>
  <c r="D55" i="40"/>
  <c r="C27" i="40"/>
  <c r="C44" i="40" s="1"/>
  <c r="C28" i="40"/>
  <c r="C45" i="40" s="1"/>
  <c r="C29" i="40"/>
  <c r="C46" i="40" s="1"/>
  <c r="C30" i="40"/>
  <c r="C31" i="40"/>
  <c r="C48" i="40" s="1"/>
  <c r="C32" i="40"/>
  <c r="C49" i="40" s="1"/>
  <c r="C33" i="40"/>
  <c r="C50" i="40" s="1"/>
  <c r="C34" i="40"/>
  <c r="C51" i="40" s="1"/>
  <c r="C35" i="40"/>
  <c r="C52" i="40" s="1"/>
  <c r="C36" i="40"/>
  <c r="C53" i="40" s="1"/>
  <c r="C37" i="40"/>
  <c r="C54" i="40" s="1"/>
  <c r="C38" i="40"/>
  <c r="C55" i="40" s="1"/>
  <c r="H39" i="40"/>
  <c r="G39" i="40"/>
  <c r="H17" i="40"/>
  <c r="G17" i="40"/>
  <c r="F17" i="40"/>
  <c r="E17" i="40"/>
  <c r="D17" i="40"/>
  <c r="E11" i="33" s="1"/>
  <c r="C17" i="40"/>
  <c r="E56" i="40" l="1"/>
  <c r="D11" i="33"/>
  <c r="F11" i="33"/>
  <c r="D39" i="40"/>
  <c r="E12" i="33" s="1"/>
  <c r="C56" i="40"/>
  <c r="D45" i="40"/>
  <c r="D56" i="40" s="1"/>
  <c r="C39" i="40"/>
  <c r="D12" i="33" s="1"/>
  <c r="E39" i="40"/>
  <c r="F12" i="33" s="1"/>
  <c r="F13" i="33" l="1"/>
  <c r="E13" i="33"/>
  <c r="F4" i="33" l="1"/>
  <c r="F28" i="29"/>
  <c r="C26" i="29"/>
  <c r="C27" i="29"/>
  <c r="D26" i="29"/>
  <c r="D27" i="29"/>
  <c r="D28" i="29"/>
  <c r="C28" i="29"/>
  <c r="E17" i="35"/>
  <c r="F9" i="33" l="1"/>
  <c r="F10" i="33" s="1"/>
  <c r="F27" i="29"/>
  <c r="F26" i="29"/>
  <c r="E4" i="33" l="1"/>
  <c r="D17" i="35"/>
  <c r="C17" i="35"/>
  <c r="C6" i="22"/>
  <c r="D5" i="33" s="1"/>
  <c r="D41" i="22"/>
  <c r="E5" i="22" s="1"/>
  <c r="E41" i="22"/>
  <c r="F5" i="22" s="1"/>
  <c r="F41" i="22"/>
  <c r="G5" i="22" s="1"/>
  <c r="G41" i="22"/>
  <c r="H5" i="22" s="1"/>
  <c r="H41" i="22"/>
  <c r="I5" i="22" s="1"/>
  <c r="I41" i="22"/>
  <c r="J5" i="22" s="1"/>
  <c r="J41" i="22"/>
  <c r="K5" i="22" s="1"/>
  <c r="C41" i="22"/>
  <c r="D5" i="22" s="1"/>
  <c r="C24" i="22"/>
  <c r="D4" i="22" s="1"/>
  <c r="D6" i="22" s="1"/>
  <c r="E5" i="33" s="1"/>
  <c r="D24" i="22"/>
  <c r="E4" i="22" s="1"/>
  <c r="E24" i="22"/>
  <c r="F4" i="22" s="1"/>
  <c r="F24" i="22"/>
  <c r="G4" i="22" s="1"/>
  <c r="G24" i="22"/>
  <c r="H4" i="22" s="1"/>
  <c r="H24" i="22"/>
  <c r="I4" i="22" s="1"/>
  <c r="I24" i="22"/>
  <c r="J4" i="22" s="1"/>
  <c r="J24" i="22"/>
  <c r="K4" i="22" s="1"/>
  <c r="J6" i="22" l="1"/>
  <c r="I6" i="22"/>
  <c r="H6" i="22"/>
  <c r="G6" i="22"/>
  <c r="K6" i="22"/>
  <c r="F6" i="22"/>
  <c r="E9" i="33"/>
  <c r="E10" i="33" s="1"/>
  <c r="D9" i="33"/>
  <c r="E6" i="22"/>
  <c r="F5" i="33" s="1"/>
  <c r="F6" i="33" s="1"/>
  <c r="E6" i="33"/>
  <c r="J17" i="34"/>
  <c r="D4" i="33"/>
  <c r="F22" i="29"/>
  <c r="B26" i="29" l="1"/>
  <c r="D7" i="33"/>
  <c r="D8" i="33" s="1"/>
  <c r="D10" i="33"/>
  <c r="N22" i="29"/>
  <c r="M22" i="29"/>
  <c r="L22" i="29"/>
  <c r="K22" i="29"/>
  <c r="J22" i="29"/>
  <c r="I22" i="29"/>
  <c r="H22" i="29"/>
  <c r="G22" i="29"/>
  <c r="I17" i="34"/>
  <c r="H17" i="34"/>
  <c r="G17" i="34"/>
  <c r="F17" i="34"/>
  <c r="E17" i="34"/>
  <c r="D17" i="34"/>
  <c r="C17" i="34"/>
  <c r="B17" i="34"/>
  <c r="B28" i="29" l="1"/>
  <c r="F7" i="33"/>
  <c r="F8" i="33" s="1"/>
  <c r="B27" i="29"/>
  <c r="E7" i="33"/>
  <c r="E8" i="33" s="1"/>
  <c r="G26" i="29"/>
  <c r="E26" i="29"/>
  <c r="D6" i="33"/>
  <c r="E28" i="29" l="1"/>
  <c r="G27" i="29"/>
  <c r="E27" i="29"/>
</calcChain>
</file>

<file path=xl/sharedStrings.xml><?xml version="1.0" encoding="utf-8"?>
<sst xmlns="http://schemas.openxmlformats.org/spreadsheetml/2006/main" count="381" uniqueCount="163">
  <si>
    <t>kg/anno</t>
  </si>
  <si>
    <t>Anno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</si>
  <si>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</si>
  <si>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</si>
  <si>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</si>
  <si>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</si>
  <si>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</si>
  <si>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</si>
  <si>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</si>
  <si>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</si>
  <si>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</si>
  <si>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</si>
  <si>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</si>
  <si>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</si>
  <si>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</si>
  <si>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ANNO</t>
  </si>
  <si>
    <t>ATTINGIMENTO IDRICO</t>
  </si>
  <si>
    <t>Descrizione rifiuto</t>
  </si>
  <si>
    <t>Codice CER</t>
  </si>
  <si>
    <t>Occasionale</t>
  </si>
  <si>
    <t>R</t>
  </si>
  <si>
    <t>R/D</t>
  </si>
  <si>
    <t>Imballaggi in materiali misti</t>
  </si>
  <si>
    <t>ENERGIA ELETTRICA</t>
  </si>
  <si>
    <t>mc/anno</t>
  </si>
  <si>
    <t>RIFIUTI TOTALI</t>
  </si>
  <si>
    <t>kWh</t>
  </si>
  <si>
    <t>ENERGIA TERMICA - consumo metano</t>
  </si>
  <si>
    <t>Consumo annuo [kg]</t>
  </si>
  <si>
    <t>APPROVVIGIONAMENTO IDRICO ACQUA AD USO INDUSTRIALE</t>
  </si>
  <si>
    <t>Totale acqua approvvigionata ad uso industriale</t>
  </si>
  <si>
    <t>Acquedotto</t>
  </si>
  <si>
    <t>FASE</t>
  </si>
  <si>
    <t>Ciclo intero</t>
  </si>
  <si>
    <t>Civile</t>
  </si>
  <si>
    <t>Indice base prodotto tinto</t>
  </si>
  <si>
    <t>kg/kg 
tinto</t>
  </si>
  <si>
    <t>kWh/kg 
tinto</t>
  </si>
  <si>
    <t>Std mc/anno</t>
  </si>
  <si>
    <t>Tutte</t>
  </si>
  <si>
    <t>Indice TINTORIA Rocche</t>
  </si>
  <si>
    <t>litri/kg</t>
  </si>
  <si>
    <t>Prodotto</t>
  </si>
  <si>
    <t>Ferro e acciaio</t>
  </si>
  <si>
    <t>Imballaggi in legno</t>
  </si>
  <si>
    <t>P/NP</t>
  </si>
  <si>
    <t>NP</t>
  </si>
  <si>
    <t>P</t>
  </si>
  <si>
    <t>Ordinario</t>
  </si>
  <si>
    <t>Imballaggi di carta e cartone</t>
  </si>
  <si>
    <t>Imballaggi di plastica</t>
  </si>
  <si>
    <t>150106</t>
  </si>
  <si>
    <t>2023</t>
  </si>
  <si>
    <t>2024</t>
  </si>
  <si>
    <t>2025</t>
  </si>
  <si>
    <t>2026</t>
  </si>
  <si>
    <t>2027</t>
  </si>
  <si>
    <t>2028</t>
  </si>
  <si>
    <t>2029</t>
  </si>
  <si>
    <t>2030</t>
  </si>
  <si>
    <t>kg prodotti 2023</t>
  </si>
  <si>
    <t>kg prodotti 2024</t>
  </si>
  <si>
    <t>kg prodotti 2025</t>
  </si>
  <si>
    <t>kg prodotti 2026</t>
  </si>
  <si>
    <t>kg prodotti 2027</t>
  </si>
  <si>
    <t>kg prodotti 2028</t>
  </si>
  <si>
    <t>kg prodotti 2029</t>
  </si>
  <si>
    <t>kg prodotti 2030</t>
  </si>
  <si>
    <t>Colonna</t>
  </si>
  <si>
    <t>Indicatori di prestazione</t>
  </si>
  <si>
    <t>Rifiuti prodotti</t>
  </si>
  <si>
    <t>2022</t>
  </si>
  <si>
    <t>Ausiliari tessili</t>
  </si>
  <si>
    <t>Coloranti</t>
  </si>
  <si>
    <t>Alluminio Policloruro 18%</t>
  </si>
  <si>
    <t>BWT 250</t>
  </si>
  <si>
    <t>BWT 276</t>
  </si>
  <si>
    <t>Oli lubrificanti</t>
  </si>
  <si>
    <t>Filato da tingere</t>
  </si>
  <si>
    <t>PRODUZIONE e CONSUMO PRODOTTI CHIMICI</t>
  </si>
  <si>
    <t>Pozzi</t>
  </si>
  <si>
    <t>Rio Punteggia</t>
  </si>
  <si>
    <r>
      <t>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</si>
  <si>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SCARICO IDRICO</t>
  </si>
  <si>
    <t>Mese</t>
  </si>
  <si>
    <t>kg prodotti 2022</t>
  </si>
  <si>
    <t>GJ/anno</t>
  </si>
  <si>
    <t>MWh/kg 
tinto</t>
  </si>
  <si>
    <r>
      <t>[m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]</t>
    </r>
  </si>
  <si>
    <t>38.343</t>
  </si>
  <si>
    <t>122.140</t>
  </si>
  <si>
    <t>Energia elettrica acquistata [kWh]</t>
  </si>
  <si>
    <t>Rifiuti da fibre tessili lavorate</t>
  </si>
  <si>
    <t>040222</t>
  </si>
  <si>
    <t>Imballaggi metallici</t>
  </si>
  <si>
    <t>150110*</t>
  </si>
  <si>
    <t>Imballaggi contenenti residui di sostanze pericolose o contaminati da tali sostanze</t>
  </si>
  <si>
    <t>150111*</t>
  </si>
  <si>
    <t>Imballaggi metallici contenenti matrici solide porose pericolose (ad esempio amianto), compresi contenitori a pressione vuoti</t>
  </si>
  <si>
    <t>160211*</t>
  </si>
  <si>
    <t>Apparecchiature fuori uso , contenenti clorofluorocarburi, HCFC, HFC</t>
  </si>
  <si>
    <t>Componenti rimossi da apparecchiature fuori uso, diversi da quelli di cui alla voce 16 02 15</t>
  </si>
  <si>
    <t>160708*</t>
  </si>
  <si>
    <t>Rifiuti contenenti oli</t>
  </si>
  <si>
    <t>Cavi, diversi da quelli di cui alla voce 170410</t>
  </si>
  <si>
    <t>Rifiuti biodegradabili</t>
  </si>
  <si>
    <t>Totale rifiuti prodotti</t>
  </si>
  <si>
    <t>Totale rifiuti avviati a recupero</t>
  </si>
  <si>
    <t>Totale rifiuti avviati a smaltimento</t>
  </si>
  <si>
    <t>Frazione recuperata</t>
  </si>
  <si>
    <t>Totale rifiuti pericolosi</t>
  </si>
  <si>
    <t>Totale rifiuti NON pericolosi</t>
  </si>
  <si>
    <t>toner per stampa esauriti diversi da quelli di cui alla voce 080317</t>
  </si>
  <si>
    <t>080318</t>
  </si>
  <si>
    <t>Apparecchiature fuori uso diverse da quelle di cui allae voci da 160209 a 160213</t>
  </si>
  <si>
    <t>Batterie al piombo</t>
  </si>
  <si>
    <t>160601*</t>
  </si>
  <si>
    <t>altri materiali isolanti conteneti o costituiti da sostanze pericolose</t>
  </si>
  <si>
    <t>170603*</t>
  </si>
  <si>
    <t>Ricircolo</t>
  </si>
  <si>
    <t>Analisi Emissioni in atmosfera</t>
  </si>
  <si>
    <t>ID Punto di Emissione</t>
  </si>
  <si>
    <t>Lavorazione</t>
  </si>
  <si>
    <t>Parametri</t>
  </si>
  <si>
    <t>Ossidi di azoto</t>
  </si>
  <si>
    <t>Monossido di Carbonio</t>
  </si>
  <si>
    <t>Unità di Misura</t>
  </si>
  <si>
    <r>
      <t>[mg/Nm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0"/>
        <rFont val="Arial"/>
      </rPr>
      <t>]</t>
    </r>
  </si>
  <si>
    <r>
      <t>[mg/Nm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</si>
  <si>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Data</t>
  </si>
  <si>
    <t>Laboratorio</t>
  </si>
  <si>
    <t>RdP</t>
  </si>
  <si>
    <t>Limite</t>
  </si>
  <si>
    <t>CRAB</t>
  </si>
  <si>
    <t>Generatore di vapore Ferroli alimentato a metano
(MW 4,6)</t>
  </si>
  <si>
    <t>Generatore di vapore Ferroli alimentato a metano
(MW 2)</t>
  </si>
  <si>
    <t>231043-001</t>
  </si>
  <si>
    <t>231043-002</t>
  </si>
  <si>
    <t>241242-001</t>
  </si>
  <si>
    <t>241242-002</t>
  </si>
  <si>
    <t>ENERGIA TERMICA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</si>
  <si>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</si>
  <si>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</si>
  <si>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</si>
  <si>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</si>
  <si>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</si>
  <si>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</si>
  <si>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</si>
  <si>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</si>
  <si>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</si>
  <si>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</si>
  <si>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</si>
  <si>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</si>
  <si>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Consumo Metano - acquisto</t>
  </si>
  <si>
    <r>
      <t xml:space="preserve"> [Stm</t>
    </r>
    <r>
      <rPr>
        <vertAlign val="superscript"/>
        <sz val="11"/>
        <rFont val="Calibri"/>
        <family val="2"/>
        <scheme val="minor"/>
      </rPr>
      <t>3</t>
    </r>
    <r>
      <rPr>
        <sz val="10"/>
        <rFont val="Arial"/>
        <family val="2"/>
      </rPr>
      <t>]</t>
    </r>
  </si>
  <si>
    <t>Potere Calorifico Inferiore (PCI)</t>
  </si>
  <si>
    <t>PCI</t>
  </si>
  <si>
    <r>
      <t xml:space="preserve"> [MJ/Stm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0"/>
        <rFont val="Arial"/>
      </rPr>
      <t>]</t>
    </r>
  </si>
  <si>
    <t xml:space="preserve"> [kWh]</t>
  </si>
  <si>
    <t xml:space="preserve"> [GJ]</t>
  </si>
  <si>
    <t>251434-001</t>
  </si>
  <si>
    <t>251434-002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</si>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</sst>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dd/mm/yy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9"/>
      <name val="Arial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21">
    <xf numFmtId="0" fontId="0" fillId="0" borderId="0"/>
    <xf numFmtId="43" fontId="13" fillId="0" borderId="0" applyFont="0" applyFill="0" applyBorder="0" applyAlignment="0" applyProtection="0"/>
    <xf numFmtId="0" fontId="15" fillId="0" borderId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43" fontId="13" fillId="0" borderId="0" applyFont="0" applyFill="0" applyBorder="0" applyAlignment="0" applyProtection="0"/>
    <xf numFmtId="0" fontId="1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</cellStyleXfs>
  <cellXfs count="145">
    <xf numFmtId="0" fontId="0" fillId="0" borderId="0" xfId="0"/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12" fillId="0" borderId="0" xfId="4" applyAlignment="1">
      <alignment horizontal="center" vertical="center"/>
    </xf>
    <xf numFmtId="0" fontId="12" fillId="0" borderId="0" xfId="4" applyAlignment="1">
      <alignment horizontal="center" vertical="center" wrapText="1"/>
    </xf>
    <xf numFmtId="3" fontId="12" fillId="0" borderId="0" xfId="4" applyNumberFormat="1" applyAlignment="1">
      <alignment horizontal="center" vertical="center"/>
    </xf>
    <xf numFmtId="10" fontId="12" fillId="0" borderId="0" xfId="4" applyNumberFormat="1" applyAlignment="1">
      <alignment horizontal="center" vertical="center"/>
    </xf>
    <xf numFmtId="3" fontId="22" fillId="0" borderId="0" xfId="5" applyNumberFormat="1" applyFont="1" applyAlignment="1">
      <alignment horizontal="center" vertical="center"/>
    </xf>
    <xf numFmtId="0" fontId="20" fillId="0" borderId="2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3" fontId="23" fillId="0" borderId="0" xfId="4" applyNumberFormat="1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3" fontId="11" fillId="0" borderId="0" xfId="4" applyNumberFormat="1" applyFont="1" applyAlignment="1">
      <alignment horizontal="center" vertical="center"/>
    </xf>
    <xf numFmtId="3" fontId="24" fillId="0" borderId="0" xfId="4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7" fillId="0" borderId="0" xfId="4" applyFont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0" xfId="3" applyNumberFormat="1" applyFont="1" applyBorder="1" applyAlignment="1">
      <alignment horizontal="center" vertical="center"/>
    </xf>
    <xf numFmtId="3" fontId="0" fillId="0" borderId="0" xfId="3" applyNumberFormat="1" applyFont="1" applyBorder="1" applyAlignment="1">
      <alignment horizontal="center" vertical="center"/>
    </xf>
    <xf numFmtId="9" fontId="0" fillId="0" borderId="0" xfId="3" applyFont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4" applyFont="1" applyAlignment="1">
      <alignment horizontal="center" vertical="center" wrapText="1"/>
    </xf>
    <xf numFmtId="3" fontId="13" fillId="0" borderId="0" xfId="1" applyNumberFormat="1" applyFont="1" applyAlignment="1">
      <alignment horizontal="center" vertical="center"/>
    </xf>
    <xf numFmtId="0" fontId="5" fillId="0" borderId="0" xfId="12" applyAlignment="1">
      <alignment horizontal="center" vertical="center"/>
    </xf>
    <xf numFmtId="3" fontId="5" fillId="0" borderId="0" xfId="12" applyNumberFormat="1" applyAlignment="1">
      <alignment horizontal="center" vertical="center"/>
    </xf>
    <xf numFmtId="10" fontId="5" fillId="0" borderId="0" xfId="12" applyNumberFormat="1" applyAlignment="1">
      <alignment horizontal="center" vertical="center"/>
    </xf>
    <xf numFmtId="0" fontId="21" fillId="0" borderId="0" xfId="12" applyFont="1" applyAlignment="1">
      <alignment horizontal="center" vertical="center"/>
    </xf>
    <xf numFmtId="0" fontId="21" fillId="0" borderId="0" xfId="12" applyFont="1" applyAlignment="1">
      <alignment horizontal="center" vertical="center" wrapText="1"/>
    </xf>
    <xf numFmtId="3" fontId="22" fillId="0" borderId="0" xfId="12" applyNumberFormat="1" applyFont="1" applyAlignment="1">
      <alignment horizontal="center" vertical="center" wrapText="1"/>
    </xf>
    <xf numFmtId="3" fontId="0" fillId="0" borderId="0" xfId="0" applyNumberFormat="1"/>
    <xf numFmtId="0" fontId="27" fillId="0" borderId="0" xfId="11" applyFont="1" applyAlignment="1">
      <alignment vertical="center"/>
    </xf>
    <xf numFmtId="0" fontId="13" fillId="0" borderId="0" xfId="11" applyAlignment="1">
      <alignment vertical="center"/>
    </xf>
    <xf numFmtId="0" fontId="14" fillId="0" borderId="0" xfId="11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4" fillId="0" borderId="0" xfId="11" applyFont="1" applyAlignment="1">
      <alignment horizontal="center" vertical="center" textRotation="90"/>
    </xf>
    <xf numFmtId="0" fontId="14" fillId="0" borderId="0" xfId="11" applyFont="1" applyAlignment="1">
      <alignment horizontal="center" vertical="center" wrapText="1"/>
    </xf>
    <xf numFmtId="0" fontId="14" fillId="0" borderId="0" xfId="11" applyFont="1" applyAlignment="1">
      <alignment vertical="center"/>
    </xf>
    <xf numFmtId="0" fontId="14" fillId="0" borderId="0" xfId="11" applyFont="1" applyAlignment="1">
      <alignment vertical="center" wrapText="1"/>
    </xf>
    <xf numFmtId="0" fontId="13" fillId="0" borderId="0" xfId="11" applyAlignment="1">
      <alignment horizontal="center" vertical="center"/>
    </xf>
    <xf numFmtId="3" fontId="13" fillId="0" borderId="0" xfId="11" applyNumberFormat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1" fontId="13" fillId="0" borderId="0" xfId="11" applyNumberFormat="1" applyAlignment="1">
      <alignment horizontal="center" vertical="center"/>
    </xf>
    <xf numFmtId="3" fontId="13" fillId="0" borderId="0" xfId="11" applyNumberFormat="1" applyAlignment="1">
      <alignment horizontal="center"/>
    </xf>
    <xf numFmtId="0" fontId="13" fillId="0" borderId="0" xfId="1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5" fillId="0" borderId="0" xfId="4" quotePrefix="1" applyFont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24" fillId="0" borderId="0" xfId="4" applyFont="1" applyAlignment="1">
      <alignment horizontal="center" vertical="center"/>
    </xf>
    <xf numFmtId="0" fontId="24" fillId="0" borderId="0" xfId="4" applyFont="1" applyAlignment="1">
      <alignment horizontal="center" vertical="center" wrapText="1"/>
    </xf>
    <xf numFmtId="0" fontId="20" fillId="2" borderId="2" xfId="12" applyFont="1" applyFill="1" applyBorder="1" applyAlignment="1">
      <alignment horizontal="center" vertical="center" wrapText="1"/>
    </xf>
    <xf numFmtId="3" fontId="5" fillId="0" borderId="0" xfId="12" applyNumberFormat="1" applyAlignment="1">
      <alignment horizontal="center" vertical="center" wrapText="1"/>
    </xf>
    <xf numFmtId="10" fontId="5" fillId="0" borderId="0" xfId="12" applyNumberFormat="1" applyAlignment="1">
      <alignment horizontal="center" vertical="center" wrapText="1"/>
    </xf>
    <xf numFmtId="10" fontId="5" fillId="0" borderId="0" xfId="4" applyNumberFormat="1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/>
    <xf numFmtId="164" fontId="0" fillId="0" borderId="0" xfId="0" applyNumberFormat="1"/>
    <xf numFmtId="3" fontId="4" fillId="0" borderId="0" xfId="4" applyNumberFormat="1" applyFont="1" applyAlignment="1">
      <alignment horizontal="center" vertical="center"/>
    </xf>
    <xf numFmtId="0" fontId="4" fillId="0" borderId="0" xfId="4" applyFont="1" applyAlignment="1">
      <alignment horizontal="center" vertical="center" wrapText="1"/>
    </xf>
    <xf numFmtId="49" fontId="4" fillId="0" borderId="0" xfId="4" applyNumberFormat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3" borderId="0" xfId="20" applyFont="1" applyFill="1"/>
    <xf numFmtId="0" fontId="2" fillId="3" borderId="0" xfId="20" applyFill="1"/>
    <xf numFmtId="0" fontId="2" fillId="0" borderId="0" xfId="20"/>
    <xf numFmtId="165" fontId="14" fillId="4" borderId="5" xfId="20" applyNumberFormat="1" applyFont="1" applyFill="1" applyBorder="1" applyAlignment="1">
      <alignment horizontal="center" vertical="center"/>
    </xf>
    <xf numFmtId="165" fontId="14" fillId="4" borderId="6" xfId="20" applyNumberFormat="1" applyFont="1" applyFill="1" applyBorder="1" applyAlignment="1">
      <alignment horizontal="center" vertical="center"/>
    </xf>
    <xf numFmtId="165" fontId="14" fillId="4" borderId="7" xfId="20" applyNumberFormat="1" applyFont="1" applyFill="1" applyBorder="1" applyAlignment="1">
      <alignment horizontal="right" vertical="center"/>
    </xf>
    <xf numFmtId="0" fontId="2" fillId="0" borderId="0" xfId="20" applyAlignment="1">
      <alignment vertical="center"/>
    </xf>
    <xf numFmtId="165" fontId="14" fillId="4" borderId="9" xfId="20" applyNumberFormat="1" applyFont="1" applyFill="1" applyBorder="1" applyAlignment="1">
      <alignment horizontal="center" vertical="center"/>
    </xf>
    <xf numFmtId="165" fontId="14" fillId="4" borderId="10" xfId="20" applyNumberFormat="1" applyFont="1" applyFill="1" applyBorder="1" applyAlignment="1">
      <alignment horizontal="center" vertical="center"/>
    </xf>
    <xf numFmtId="165" fontId="14" fillId="4" borderId="11" xfId="20" applyNumberFormat="1" applyFont="1" applyFill="1" applyBorder="1" applyAlignment="1">
      <alignment horizontal="right" vertical="center"/>
    </xf>
    <xf numFmtId="165" fontId="14" fillId="4" borderId="13" xfId="20" applyNumberFormat="1" applyFont="1" applyFill="1" applyBorder="1" applyAlignment="1">
      <alignment horizontal="center" vertical="center"/>
    </xf>
    <xf numFmtId="165" fontId="14" fillId="4" borderId="14" xfId="20" applyNumberFormat="1" applyFont="1" applyFill="1" applyBorder="1" applyAlignment="1">
      <alignment horizontal="center" vertical="center"/>
    </xf>
    <xf numFmtId="165" fontId="14" fillId="4" borderId="15" xfId="20" applyNumberFormat="1" applyFont="1" applyFill="1" applyBorder="1" applyAlignment="1">
      <alignment horizontal="right" vertical="center"/>
    </xf>
    <xf numFmtId="0" fontId="2" fillId="0" borderId="14" xfId="20" applyBorder="1" applyAlignment="1">
      <alignment horizontal="center" vertical="center" wrapText="1"/>
    </xf>
    <xf numFmtId="0" fontId="13" fillId="0" borderId="16" xfId="20" applyFont="1" applyBorder="1" applyAlignment="1">
      <alignment horizontal="center" vertical="center" wrapText="1"/>
    </xf>
    <xf numFmtId="165" fontId="14" fillId="0" borderId="17" xfId="20" applyNumberFormat="1" applyFont="1" applyBorder="1" applyAlignment="1">
      <alignment horizontal="center" vertical="center"/>
    </xf>
    <xf numFmtId="165" fontId="14" fillId="0" borderId="18" xfId="20" applyNumberFormat="1" applyFont="1" applyBorder="1" applyAlignment="1">
      <alignment horizontal="center" vertical="center"/>
    </xf>
    <xf numFmtId="165" fontId="14" fillId="0" borderId="19" xfId="20" applyNumberFormat="1" applyFont="1" applyBorder="1" applyAlignment="1">
      <alignment horizontal="center" vertical="center"/>
    </xf>
    <xf numFmtId="165" fontId="14" fillId="0" borderId="20" xfId="20" applyNumberFormat="1" applyFont="1" applyBorder="1" applyAlignment="1">
      <alignment horizontal="right" vertical="center"/>
    </xf>
    <xf numFmtId="0" fontId="2" fillId="0" borderId="18" xfId="20" applyBorder="1" applyAlignment="1">
      <alignment horizontal="center" vertical="center" wrapText="1"/>
    </xf>
    <xf numFmtId="0" fontId="2" fillId="0" borderId="21" xfId="20" applyBorder="1" applyAlignment="1">
      <alignment horizontal="center" vertical="center" wrapText="1"/>
    </xf>
    <xf numFmtId="165" fontId="14" fillId="6" borderId="22" xfId="20" applyNumberFormat="1" applyFont="1" applyFill="1" applyBorder="1" applyAlignment="1">
      <alignment horizontal="center" vertical="center"/>
    </xf>
    <xf numFmtId="165" fontId="14" fillId="0" borderId="22" xfId="20" applyNumberFormat="1" applyFont="1" applyBorder="1" applyAlignment="1">
      <alignment horizontal="center" vertical="center"/>
    </xf>
    <xf numFmtId="165" fontId="34" fillId="7" borderId="23" xfId="20" applyNumberFormat="1" applyFont="1" applyFill="1" applyBorder="1" applyAlignment="1">
      <alignment horizontal="right" vertical="center"/>
    </xf>
    <xf numFmtId="0" fontId="34" fillId="7" borderId="23" xfId="20" applyFont="1" applyFill="1" applyBorder="1" applyAlignment="1">
      <alignment horizontal="center" vertical="center"/>
    </xf>
    <xf numFmtId="0" fontId="35" fillId="0" borderId="0" xfId="20" applyFont="1" applyAlignment="1">
      <alignment vertical="center"/>
    </xf>
    <xf numFmtId="165" fontId="2" fillId="6" borderId="22" xfId="20" applyNumberFormat="1" applyFill="1" applyBorder="1" applyAlignment="1">
      <alignment horizontal="center" vertical="center"/>
    </xf>
    <xf numFmtId="165" fontId="2" fillId="0" borderId="22" xfId="20" applyNumberFormat="1" applyBorder="1" applyAlignment="1">
      <alignment horizontal="center" vertical="center"/>
    </xf>
    <xf numFmtId="165" fontId="2" fillId="0" borderId="24" xfId="20" applyNumberFormat="1" applyBorder="1" applyAlignment="1">
      <alignment horizontal="center" vertical="center"/>
    </xf>
    <xf numFmtId="0" fontId="2" fillId="0" borderId="10" xfId="20" applyBorder="1" applyAlignment="1">
      <alignment horizontal="center" vertical="center"/>
    </xf>
    <xf numFmtId="0" fontId="2" fillId="0" borderId="25" xfId="20" applyBorder="1" applyAlignment="1">
      <alignment horizontal="center" vertical="center"/>
    </xf>
    <xf numFmtId="165" fontId="2" fillId="0" borderId="26" xfId="20" applyNumberFormat="1" applyBorder="1" applyAlignment="1">
      <alignment horizontal="center" vertical="center"/>
    </xf>
    <xf numFmtId="0" fontId="2" fillId="0" borderId="0" xfId="20" applyAlignment="1">
      <alignment horizontal="center" vertical="center"/>
    </xf>
    <xf numFmtId="165" fontId="2" fillId="0" borderId="20" xfId="20" applyNumberForma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20" fillId="0" borderId="27" xfId="0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3" fillId="0" borderId="0" xfId="0" applyNumberFormat="1" applyFont="1" applyAlignment="1">
      <alignment horizontal="center" vertical="center"/>
    </xf>
    <xf numFmtId="165" fontId="1" fillId="6" borderId="22" xfId="20" applyNumberFormat="1" applyFont="1" applyFill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64" fontId="13" fillId="0" borderId="0" xfId="1" applyNumberFormat="1" applyAlignment="1">
      <alignment horizontal="center" vertical="center"/>
    </xf>
    <xf numFmtId="164" fontId="13" fillId="0" borderId="0" xfId="1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>
      <alignment vertical="center"/>
    </xf>
    <xf numFmtId="0" fontId="30" fillId="0" borderId="0" xfId="4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7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 wrapText="1"/>
    </xf>
    <xf numFmtId="0" fontId="28" fillId="0" borderId="0" xfId="4" applyFont="1" applyAlignment="1">
      <alignment horizontal="center" vertical="center"/>
    </xf>
    <xf numFmtId="0" fontId="32" fillId="5" borderId="5" xfId="20" applyFont="1" applyFill="1" applyBorder="1" applyAlignment="1">
      <alignment horizontal="center" vertical="center"/>
    </xf>
    <xf numFmtId="0" fontId="32" fillId="5" borderId="8" xfId="20" applyFont="1" applyFill="1" applyBorder="1" applyAlignment="1">
      <alignment horizontal="center" vertical="center"/>
    </xf>
    <xf numFmtId="0" fontId="32" fillId="5" borderId="7" xfId="20" applyFont="1" applyFill="1" applyBorder="1" applyAlignment="1">
      <alignment horizontal="center" vertical="center"/>
    </xf>
    <xf numFmtId="0" fontId="13" fillId="0" borderId="9" xfId="20" applyFont="1" applyBorder="1" applyAlignment="1">
      <alignment horizontal="center" vertical="center" wrapText="1"/>
    </xf>
    <xf numFmtId="0" fontId="13" fillId="0" borderId="12" xfId="20" applyFont="1" applyBorder="1" applyAlignment="1">
      <alignment horizontal="center" vertical="center" wrapText="1"/>
    </xf>
    <xf numFmtId="0" fontId="13" fillId="0" borderId="11" xfId="2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21">
    <cellStyle name="Migliaia" xfId="1" builtinId="3"/>
    <cellStyle name="Migliaia 2" xfId="5" xr:uid="{00000000-0005-0000-0000-000001000000}"/>
    <cellStyle name="Migliaia 2 2" xfId="13" xr:uid="{5C9E5932-9B1A-470E-AAC5-A71951CD3312}"/>
    <cellStyle name="Migliaia 3" xfId="10" xr:uid="{80523B04-87EA-4F09-A571-2622CA5B0192}"/>
    <cellStyle name="Normale" xfId="0" builtinId="0"/>
    <cellStyle name="Normale 2" xfId="2" xr:uid="{00000000-0005-0000-0000-000003000000}"/>
    <cellStyle name="Normale 2 2" xfId="11" xr:uid="{B444FEB1-5F10-470B-984E-C07F196B5E48}"/>
    <cellStyle name="Normale 3" xfId="4" xr:uid="{00000000-0005-0000-0000-000004000000}"/>
    <cellStyle name="Normale 3 2" xfId="12" xr:uid="{6CEF0E3D-1E8E-454E-8BDB-E7A0BA5D1CB6}"/>
    <cellStyle name="Normale 4" xfId="6" xr:uid="{00000000-0005-0000-0000-000005000000}"/>
    <cellStyle name="Normale 4 2" xfId="18" xr:uid="{0FA5C4F7-0EF5-475D-A4E4-AF94C7D9D5EA}"/>
    <cellStyle name="Normale 4 3" xfId="14" xr:uid="{880955A0-8AF9-4697-A337-E87599299121}"/>
    <cellStyle name="Normale 5" xfId="8" xr:uid="{00000000-0005-0000-0000-000006000000}"/>
    <cellStyle name="Normale 5 2" xfId="16" xr:uid="{E661FDF5-2EE4-45F2-955C-619C0B4D55EE}"/>
    <cellStyle name="Normale 6" xfId="9" xr:uid="{00000000-0005-0000-0000-000007000000}"/>
    <cellStyle name="Normale 6 2" xfId="17" xr:uid="{0DB9D495-0015-4677-B1B4-4D72B136400E}"/>
    <cellStyle name="Normale 7" xfId="19" xr:uid="{866A84C6-E4E6-4807-AA3B-CA3ED2FCA592}"/>
    <cellStyle name="Normale 8" xfId="20" xr:uid="{559E33D4-4042-4D18-A435-E7CE8C252833}"/>
    <cellStyle name="Percentuale" xfId="3" builtinId="5"/>
    <cellStyle name="Percentuale 2" xfId="7" xr:uid="{00000000-0005-0000-0000-000009000000}"/>
    <cellStyle name="Percentuale 2 2" xfId="15" xr:uid="{1AC758F9-4585-4564-9954-BA039E027DA4}"/>
  </cellStyles>
  <dxfs count="240">
    <dxf>
      <fill>
        <patternFill>
          <bgColor rgb="FFFF0000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</font>
      <numFmt numFmtId="3" formatCode="#,##0"/>
      <alignment horizontal="center" vertical="center" textRotation="0" wrapText="0" indent="0" justifyLastLine="0" shrinkToFit="0" readingOrder="0"/>
    </dxf>
    <dxf>
      <font>
        <b val="0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</font>
    </dxf>
    <dxf>
      <border outline="0">
        <right style="thin">
          <color rgb="FF000000"/>
        </right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4" formatCode="0.00%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164" formatCode="_-* #,##0_-;\-* #,##0_-;_-* &quot;-&quot;??_-;_-@_-"/>
      <alignment horizontal="center" vertical="center" textRotation="0" wrapText="0" indent="0" justifyLastLine="0" shrinkToFit="0" readingOrder="0"/>
    </dxf>
    <dxf>
      <numFmt numFmtId="164" formatCode="_-* #,##0_-;\-* #,##0_-;_-* &quot;-&quot;??_-;_-@_-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" formatCode="#,##0"/>
      <fill>
        <patternFill patternType="solid">
          <fgColor indexed="64"/>
          <bgColor indexed="3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" formatCode="#,##0"/>
      <fill>
        <patternFill patternType="solid">
          <fgColor indexed="64"/>
          <bgColor indexed="31"/>
        </patternFill>
      </fill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fill>
        <patternFill patternType="solid">
          <fgColor indexed="64"/>
          <bgColor indexed="31"/>
        </patternFill>
      </fill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fill>
        <patternFill patternType="solid">
          <fgColor indexed="64"/>
          <bgColor indexed="31"/>
        </patternFill>
      </fill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fill>
        <patternFill patternType="solid">
          <fgColor indexed="64"/>
          <bgColor indexed="31"/>
        </patternFill>
      </fill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fill>
        <patternFill patternType="solid">
          <fgColor indexed="64"/>
          <bgColor indexed="31"/>
        </patternFill>
      </fill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fill>
        <patternFill patternType="solid">
          <fgColor indexed="64"/>
          <bgColor indexed="31"/>
        </patternFill>
      </fill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family val="2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indexed="3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Produzione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Produzione!$B$3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Produzione!$A$4</c:f>
              <c:strCache>
                <c:ptCount val="1"/>
                <c:pt idx="0">
                  <c:v>Filato da tingere</c:v>
                </c:pt>
              </c:strCache>
            </c:strRef>
          </c:cat>
          <c:val>
            <c:numRef>
              <c:f>Produzione!$B$4</c:f>
              <c:numCache>
                <c:formatCode>#,##0</c:formatCode>
                <c:ptCount val="1"/>
                <c:pt idx="0">
                  <c:v>1152943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4-4A6A-9FBD-E5E9176FA0CC}"/>
            </c:ext>
          </c:extLst>
        </c:ser>
        <c:ser>
          <c:idx val="1"/>
          <c:order val="1"/>
          <c:tx>
            <c:strRef>
              <c:f>Produzione!$C$3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Produzione!$A$4</c:f>
              <c:strCache>
                <c:ptCount val="1"/>
                <c:pt idx="0">
                  <c:v>Filato da tingere</c:v>
                </c:pt>
              </c:strCache>
            </c:strRef>
          </c:cat>
          <c:val>
            <c:numRef>
              <c:f>Produzione!$C$4</c:f>
              <c:numCache>
                <c:formatCode>#,##0</c:formatCode>
                <c:ptCount val="1"/>
                <c:pt idx="0">
                  <c:v>1102245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4-4A6A-9FBD-E5E9176FA0CC}"/>
            </c:ext>
          </c:extLst>
        </c:ser>
        <c:ser>
          <c:idx val="2"/>
          <c:order val="2"/>
          <c:tx>
            <c:strRef>
              <c:f>Produzione!$D$3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Produzione!$A$4</c:f>
              <c:strCache>
                <c:ptCount val="1"/>
                <c:pt idx="0">
                  <c:v>Filato da tingere</c:v>
                </c:pt>
              </c:strCache>
            </c:strRef>
          </c:cat>
          <c:val>
            <c:numRef>
              <c:f>Produzione!$D$4</c:f>
              <c:numCache>
                <c:formatCode>#,##0</c:formatCode>
                <c:ptCount val="1"/>
                <c:pt idx="0">
                  <c:v>1004359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64-4A6A-9FBD-E5E9176FA0CC}"/>
            </c:ext>
          </c:extLst>
        </c:ser>
        <c:ser>
          <c:idx val="3"/>
          <c:order val="3"/>
          <c:tx>
            <c:strRef>
              <c:f>Produzione!$E$3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Produzione!$A$4</c:f>
              <c:strCache>
                <c:ptCount val="1"/>
                <c:pt idx="0">
                  <c:v>Filato da tingere</c:v>
                </c:pt>
              </c:strCache>
            </c:strRef>
          </c:cat>
          <c:val>
            <c:numRef>
              <c:f>Produzione!$E$4</c:f>
              <c:numCache>
                <c:formatCode>#,##0</c:formatCode>
                <c:ptCount val="1"/>
                <c:pt idx="0">
                  <c:v>1214052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64-4A6A-9FBD-E5E9176FA0CC}"/>
            </c:ext>
          </c:extLst>
        </c:ser>
        <c:ser>
          <c:idx val="4"/>
          <c:order val="4"/>
          <c:tx>
            <c:strRef>
              <c:f>Produzione!$F$3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Produzione!$A$4</c:f>
              <c:strCache>
                <c:ptCount val="1"/>
                <c:pt idx="0">
                  <c:v>Filato da tingere</c:v>
                </c:pt>
              </c:strCache>
            </c:strRef>
          </c:cat>
          <c:val>
            <c:numRef>
              <c:f>Produzione!$F$4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6C64-4A6A-9FBD-E5E9176FA0CC}"/>
            </c:ext>
          </c:extLst>
        </c:ser>
        <c:ser>
          <c:idx val="5"/>
          <c:order val="5"/>
          <c:tx>
            <c:strRef>
              <c:f>Produzione!$G$3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Produzione!$A$4</c:f>
              <c:strCache>
                <c:ptCount val="1"/>
                <c:pt idx="0">
                  <c:v>Filato da tingere</c:v>
                </c:pt>
              </c:strCache>
            </c:strRef>
          </c:cat>
          <c:val>
            <c:numRef>
              <c:f>Produzione!$G$4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6C64-4A6A-9FBD-E5E9176FA0CC}"/>
            </c:ext>
          </c:extLst>
        </c:ser>
        <c:ser>
          <c:idx val="6"/>
          <c:order val="6"/>
          <c:tx>
            <c:strRef>
              <c:f>Produzione!$H$3</c:f>
              <c:strCache>
                <c:ptCount val="1"/>
                <c:pt idx="0">
                  <c:v>2028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Produzione!$A$4</c:f>
              <c:strCache>
                <c:ptCount val="1"/>
                <c:pt idx="0">
                  <c:v>Filato da tingere</c:v>
                </c:pt>
              </c:strCache>
            </c:strRef>
          </c:cat>
          <c:val>
            <c:numRef>
              <c:f>Produzione!$H$4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6C64-4A6A-9FBD-E5E9176FA0CC}"/>
            </c:ext>
          </c:extLst>
        </c:ser>
        <c:ser>
          <c:idx val="7"/>
          <c:order val="7"/>
          <c:tx>
            <c:strRef>
              <c:f>Produzione!$I$3</c:f>
              <c:strCache>
                <c:ptCount val="1"/>
                <c:pt idx="0">
                  <c:v>2029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Produzione!$A$4</c:f>
              <c:strCache>
                <c:ptCount val="1"/>
                <c:pt idx="0">
                  <c:v>Filato da tingere</c:v>
                </c:pt>
              </c:strCache>
            </c:strRef>
          </c:cat>
          <c:val>
            <c:numRef>
              <c:f>Produzione!$I$4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6C64-4A6A-9FBD-E5E9176FA0CC}"/>
            </c:ext>
          </c:extLst>
        </c:ser>
        <c:ser>
          <c:idx val="8"/>
          <c:order val="8"/>
          <c:tx>
            <c:strRef>
              <c:f>Produzione!$J$3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Produzione!$A$4</c:f>
              <c:strCache>
                <c:ptCount val="1"/>
                <c:pt idx="0">
                  <c:v>Filato da tingere</c:v>
                </c:pt>
              </c:strCache>
            </c:strRef>
          </c:cat>
          <c:val>
            <c:numRef>
              <c:f>Produzione!$J$4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6C64-4A6A-9FBD-E5E9176FA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4260448"/>
        <c:axId val="99397120"/>
      </c:barChart>
      <c:catAx>
        <c:axId val="191426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9397120"/>
        <c:crosses val="autoZero"/>
        <c:auto val="1"/>
        <c:lblAlgn val="ctr"/>
        <c:lblOffset val="100"/>
        <c:noMultiLvlLbl val="0"/>
      </c:catAx>
      <c:valAx>
        <c:axId val="9939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426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Consumo Metano [Stm</a:t>
            </a:r>
            <a:r>
              <a:rPr lang="it-IT" sz="1400" b="0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3</a:t>
            </a: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] - Annuale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'Energia Termica'!$C$4:$H$4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'Energia Termica'!$C$17:$H$17</c:f>
              <c:numCache>
                <c:formatCode>#,##0</c:formatCode>
                <c:ptCount val="6"/>
                <c:pt idx="0">
                  <c:v>804927</c:v>
                </c:pt>
                <c:pt idx="1">
                  <c:v>789482</c:v>
                </c:pt>
                <c:pt idx="2">
                  <c:v>781300</c:v>
                </c:pt>
                <c:pt idx="3" formatCode="_-* #,##0_-;\-* #,##0_-;_-* &quot;-&quot;??_-;_-@_-">
                  <c:v>788745</c:v>
                </c:pt>
                <c:pt idx="4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A-4294-8232-C98CBD253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165856"/>
        <c:axId val="81162976"/>
      </c:barChart>
      <c:catAx>
        <c:axId val="8116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162976"/>
        <c:crosses val="autoZero"/>
        <c:auto val="1"/>
        <c:lblAlgn val="ctr"/>
        <c:lblOffset val="100"/>
        <c:noMultiLvlLbl val="0"/>
      </c:catAx>
      <c:valAx>
        <c:axId val="8116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16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Consumo Metano [GJ] - Mensile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'Energia Termica'!$C$26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Termica'!$B$27:$B$38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Termica'!$C$27:$C$38</c:f>
              <c:numCache>
                <c:formatCode>#,##0</c:formatCode>
                <c:ptCount val="12"/>
                <c:pt idx="0">
                  <c:v>2284.0069950000002</c:v>
                </c:pt>
                <c:pt idx="1">
                  <c:v>2268.4587149999998</c:v>
                </c:pt>
                <c:pt idx="2">
                  <c:v>2719.2881610000004</c:v>
                </c:pt>
                <c:pt idx="3">
                  <c:v>2368.3564140000003</c:v>
                </c:pt>
                <c:pt idx="4">
                  <c:v>2548.045059</c:v>
                </c:pt>
                <c:pt idx="5">
                  <c:v>2564.5827750000003</c:v>
                </c:pt>
                <c:pt idx="6">
                  <c:v>2003.7845850000001</c:v>
                </c:pt>
                <c:pt idx="7">
                  <c:v>525.49652700000001</c:v>
                </c:pt>
                <c:pt idx="8">
                  <c:v>3445.9935660000006</c:v>
                </c:pt>
                <c:pt idx="9">
                  <c:v>2789.1140730000002</c:v>
                </c:pt>
                <c:pt idx="10">
                  <c:v>2904.0653340000003</c:v>
                </c:pt>
                <c:pt idx="11">
                  <c:v>2022.5131950000002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8-442B-A598-667CB9669517}"/>
            </c:ext>
          </c:extLst>
        </c:ser>
        <c:ser>
          <c:idx val="1"/>
          <c:order val="1"/>
          <c:tx>
            <c:strRef>
              <c:f>'Energia Termica'!$D$26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Termica'!$B$27:$B$38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Termica'!$D$27:$D$38</c:f>
              <c:numCache>
                <c:formatCode>#,##0</c:formatCode>
                <c:ptCount val="12"/>
                <c:pt idx="0">
                  <c:v>2741.4643259999998</c:v>
                </c:pt>
                <c:pt idx="1">
                  <c:v>2970.3038040000001</c:v>
                </c:pt>
                <c:pt idx="2">
                  <c:v>3048.8765160000003</c:v>
                </c:pt>
                <c:pt idx="3">
                  <c:v>1960.3111590000001</c:v>
                </c:pt>
                <c:pt idx="4">
                  <c:v>2510.284686</c:v>
                </c:pt>
                <c:pt idx="5">
                  <c:v>2447.8449090000004</c:v>
                </c:pt>
                <c:pt idx="6">
                  <c:v>1651.480689</c:v>
                </c:pt>
                <c:pt idx="7">
                  <c:v>556.745814</c:v>
                </c:pt>
                <c:pt idx="8">
                  <c:v>2851.8774240000002</c:v>
                </c:pt>
                <c:pt idx="9">
                  <c:v>2706.8937510000001</c:v>
                </c:pt>
                <c:pt idx="10">
                  <c:v>3231.0900389999997</c:v>
                </c:pt>
                <c:pt idx="11">
                  <c:v>1315.490157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8-442B-A598-667CB9669517}"/>
            </c:ext>
          </c:extLst>
        </c:ser>
        <c:ser>
          <c:idx val="2"/>
          <c:order val="2"/>
          <c:tx>
            <c:strRef>
              <c:f>'Energia Termica'!$E$26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Termica'!$B$27:$B$38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Termica'!$E$27:$E$38</c:f>
              <c:numCache>
                <c:formatCode>#,##0</c:formatCode>
                <c:ptCount val="12"/>
                <c:pt idx="0">
                  <c:v>2831.95264</c:v>
                </c:pt>
                <c:pt idx="1">
                  <c:v>2290.8979199999999</c:v>
                </c:pt>
                <c:pt idx="2">
                  <c:v>2335.4490880000003</c:v>
                </c:pt>
                <c:pt idx="3">
                  <c:v>2157.5290880000002</c:v>
                </c:pt>
                <c:pt idx="4">
                  <c:v>2052.9832960000003</c:v>
                </c:pt>
                <c:pt idx="5">
                  <c:v>2385.480192</c:v>
                </c:pt>
                <c:pt idx="6">
                  <c:v>2094.0828160000001</c:v>
                </c:pt>
                <c:pt idx="7">
                  <c:v>464.22886400000004</c:v>
                </c:pt>
                <c:pt idx="8">
                  <c:v>2854.6908160000003</c:v>
                </c:pt>
                <c:pt idx="9">
                  <c:v>3413.5019520000001</c:v>
                </c:pt>
                <c:pt idx="10">
                  <c:v>2783.3804800000003</c:v>
                </c:pt>
                <c:pt idx="11">
                  <c:v>2137.6020480000002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08-442B-A598-667CB9669517}"/>
            </c:ext>
          </c:extLst>
        </c:ser>
        <c:ser>
          <c:idx val="3"/>
          <c:order val="3"/>
          <c:tx>
            <c:strRef>
              <c:f>'Energia Termica'!$F$26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Termica'!$B$27:$B$38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Termica'!$F$27:$F$38</c:f>
              <c:numCache>
                <c:formatCode>#,##0</c:formatCode>
                <c:ptCount val="12"/>
                <c:pt idx="0">
                  <c:v>3309.6479310000004</c:v>
                </c:pt>
                <c:pt idx="1">
                  <c:v>2723.9244570000001</c:v>
                </c:pt>
                <c:pt idx="2">
                  <c:v>3047.852151</c:v>
                </c:pt>
                <c:pt idx="3">
                  <c:v>2096.3279250000001</c:v>
                </c:pt>
                <c:pt idx="4">
                  <c:v>2071.3253580000001</c:v>
                </c:pt>
                <c:pt idx="5">
                  <c:v>2116.5154470000002</c:v>
                </c:pt>
                <c:pt idx="6">
                  <c:v>2002.3810470000001</c:v>
                </c:pt>
                <c:pt idx="7">
                  <c:v>571.81334400000003</c:v>
                </c:pt>
                <c:pt idx="8">
                  <c:v>2612.5007490000003</c:v>
                </c:pt>
                <c:pt idx="9">
                  <c:v>2972.2737780000002</c:v>
                </c:pt>
                <c:pt idx="10">
                  <c:v>2748.2493509999999</c:v>
                </c:pt>
                <c:pt idx="11">
                  <c:v>1859.3563770000001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08-442B-A598-667CB9669517}"/>
            </c:ext>
          </c:extLst>
        </c:ser>
        <c:ser>
          <c:idx val="4"/>
          <c:order val="4"/>
          <c:tx>
            <c:strRef>
              <c:f>'Energia Termica'!$G$26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Termica'!$B$27:$B$38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Termica'!$G$27:$G$38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08-442B-A598-667CB9669517}"/>
            </c:ext>
          </c:extLst>
        </c:ser>
        <c:ser>
          <c:idx val="5"/>
          <c:order val="5"/>
          <c:tx>
            <c:strRef>
              <c:f>'Energia Termica'!$H$26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Termica'!$B$27:$B$38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Termica'!$H$27:$H$38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08-442B-A598-667CB9669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4258048"/>
        <c:axId val="1988784480"/>
      </c:lineChart>
      <c:catAx>
        <c:axId val="191425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88784480"/>
        <c:crosses val="autoZero"/>
        <c:auto val="1"/>
        <c:lblAlgn val="ctr"/>
        <c:lblOffset val="100"/>
        <c:noMultiLvlLbl val="0"/>
      </c:catAx>
      <c:valAx>
        <c:axId val="19887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425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Consumo Metano [GJ] - Annuale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'Energia Termica'!$C$26:$H$26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'Energia Termica'!$C$39:$H$39</c:f>
              <c:numCache>
                <c:formatCode>#,##0</c:formatCode>
                <c:ptCount val="6"/>
                <c:pt idx="0">
                  <c:v>28443.705399000002</c:v>
                </c:pt>
                <c:pt idx="1">
                  <c:v>27992.663273999999</c:v>
                </c:pt>
                <c:pt idx="2">
                  <c:v>27801.779199999997</c:v>
                </c:pt>
                <c:pt idx="3">
                  <c:v>28132.167914999995</c:v>
                </c:pt>
                <c:pt idx="4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F-48D3-924C-197AB0433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423952"/>
        <c:axId val="1185424432"/>
      </c:barChart>
      <c:catAx>
        <c:axId val="118542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5424432"/>
        <c:crosses val="autoZero"/>
        <c:auto val="1"/>
        <c:lblAlgn val="ctr"/>
        <c:lblOffset val="100"/>
        <c:noMultiLvlLbl val="0"/>
      </c:catAx>
      <c:valAx>
        <c:axId val="118542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542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Consumo Metano [kWh] - Mensile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'Energia Termica'!$C$43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Termica'!$B$44:$B$55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Termica'!$C$44:$C$55</c:f>
              <c:numCache>
                <c:formatCode>#,##0</c:formatCode>
                <c:ptCount val="12"/>
                <c:pt idx="0">
                  <c:v>634451.46307109995</c:v>
                </c:pt>
                <c:pt idx="1">
                  <c:v>630132.46185269987</c:v>
                </c:pt>
                <c:pt idx="2">
                  <c:v>755363.86536258005</c:v>
                </c:pt>
                <c:pt idx="3">
                  <c:v>657882.04468092008</c:v>
                </c:pt>
                <c:pt idx="4">
                  <c:v>707795.95648901991</c:v>
                </c:pt>
                <c:pt idx="5">
                  <c:v>712389.80323950003</c:v>
                </c:pt>
                <c:pt idx="6">
                  <c:v>556611.28202129994</c:v>
                </c:pt>
                <c:pt idx="7">
                  <c:v>145972.42527005999</c:v>
                </c:pt>
                <c:pt idx="8">
                  <c:v>957228.09276348003</c:v>
                </c:pt>
                <c:pt idx="9">
                  <c:v>774760.10719794</c:v>
                </c:pt>
                <c:pt idx="10">
                  <c:v>806691.26847851998</c:v>
                </c:pt>
                <c:pt idx="11">
                  <c:v>561813.71530709998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6-4710-9BE4-98B7296E7DD8}"/>
            </c:ext>
          </c:extLst>
        </c:ser>
        <c:ser>
          <c:idx val="1"/>
          <c:order val="1"/>
          <c:tx>
            <c:strRef>
              <c:f>'Energia Termica'!$D$43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Termica'!$B$44:$B$55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Termica'!$D$44:$D$55</c:f>
              <c:numCache>
                <c:formatCode>#,##0</c:formatCode>
                <c:ptCount val="12"/>
                <c:pt idx="0">
                  <c:v>761523.96047627984</c:v>
                </c:pt>
                <c:pt idx="1">
                  <c:v>825090.99067511992</c:v>
                </c:pt>
                <c:pt idx="2">
                  <c:v>846916.91861447995</c:v>
                </c:pt>
                <c:pt idx="3">
                  <c:v>544535.23374702001</c:v>
                </c:pt>
                <c:pt idx="4">
                  <c:v>697306.88007707987</c:v>
                </c:pt>
                <c:pt idx="5">
                  <c:v>679962.35882202</c:v>
                </c:pt>
                <c:pt idx="6">
                  <c:v>458748.30579041992</c:v>
                </c:pt>
                <c:pt idx="7">
                  <c:v>154652.85221291997</c:v>
                </c:pt>
                <c:pt idx="8">
                  <c:v>792194.51083872002</c:v>
                </c:pt>
                <c:pt idx="9">
                  <c:v>751920.94615277997</c:v>
                </c:pt>
                <c:pt idx="10">
                  <c:v>897532.1910334198</c:v>
                </c:pt>
                <c:pt idx="11">
                  <c:v>365416.85581145994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6-4710-9BE4-98B7296E7DD8}"/>
            </c:ext>
          </c:extLst>
        </c:ser>
        <c:ser>
          <c:idx val="2"/>
          <c:order val="2"/>
          <c:tx>
            <c:strRef>
              <c:f>'Energia Termica'!$E$43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Termica'!$B$44:$B$55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Termica'!$E$44:$E$55</c:f>
              <c:numCache>
                <c:formatCode>#,##0</c:formatCode>
                <c:ptCount val="12"/>
                <c:pt idx="0">
                  <c:v>786659.80433919991</c:v>
                </c:pt>
                <c:pt idx="1">
                  <c:v>636365.62421759986</c:v>
                </c:pt>
                <c:pt idx="2">
                  <c:v>648741.04766464001</c:v>
                </c:pt>
                <c:pt idx="3">
                  <c:v>599318.43006464001</c:v>
                </c:pt>
                <c:pt idx="4">
                  <c:v>570277.69996288</c:v>
                </c:pt>
                <c:pt idx="5">
                  <c:v>662638.68773375999</c:v>
                </c:pt>
                <c:pt idx="6">
                  <c:v>581694.32462848001</c:v>
                </c:pt>
                <c:pt idx="7">
                  <c:v>128953.49384192</c:v>
                </c:pt>
                <c:pt idx="8">
                  <c:v>792976.01486848004</c:v>
                </c:pt>
                <c:pt idx="9">
                  <c:v>948202.57222655998</c:v>
                </c:pt>
                <c:pt idx="10">
                  <c:v>773167.42973440001</c:v>
                </c:pt>
                <c:pt idx="11">
                  <c:v>593783.09689344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C6-4710-9BE4-98B7296E7DD8}"/>
            </c:ext>
          </c:extLst>
        </c:ser>
        <c:ser>
          <c:idx val="3"/>
          <c:order val="3"/>
          <c:tx>
            <c:strRef>
              <c:f>'Energia Termica'!$F$43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Termica'!$B$44:$B$55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Termica'!$F$44:$F$55</c:f>
              <c:numCache>
                <c:formatCode>#,##0</c:formatCode>
                <c:ptCount val="12"/>
                <c:pt idx="0">
                  <c:v>919354.00227318006</c:v>
                </c:pt>
                <c:pt idx="1">
                  <c:v>756651.73566546</c:v>
                </c:pt>
                <c:pt idx="2">
                  <c:v>846632.37050477997</c:v>
                </c:pt>
                <c:pt idx="3">
                  <c:v>582317.97100649995</c:v>
                </c:pt>
                <c:pt idx="4">
                  <c:v>575372.75794524001</c:v>
                </c:pt>
                <c:pt idx="5">
                  <c:v>587925.66086765996</c:v>
                </c:pt>
                <c:pt idx="6">
                  <c:v>556221.40723566001</c:v>
                </c:pt>
                <c:pt idx="7">
                  <c:v>158838.31069632</c:v>
                </c:pt>
                <c:pt idx="8">
                  <c:v>725700.45805721998</c:v>
                </c:pt>
                <c:pt idx="9">
                  <c:v>825638.21005283995</c:v>
                </c:pt>
                <c:pt idx="10">
                  <c:v>763408.7047207799</c:v>
                </c:pt>
                <c:pt idx="11">
                  <c:v>516492.01440305996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C6-4710-9BE4-98B7296E7DD8}"/>
            </c:ext>
          </c:extLst>
        </c:ser>
        <c:ser>
          <c:idx val="4"/>
          <c:order val="4"/>
          <c:tx>
            <c:strRef>
              <c:f>'Energia Termica'!$G$43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Termica'!$B$44:$B$55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Termica'!$G$44:$G$55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C6-4710-9BE4-98B7296E7DD8}"/>
            </c:ext>
          </c:extLst>
        </c:ser>
        <c:ser>
          <c:idx val="5"/>
          <c:order val="5"/>
          <c:tx>
            <c:strRef>
              <c:f>'Energia Termica'!$H$43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Termica'!$B$44:$B$55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Termica'!$H$44:$H$55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C6-4710-9BE4-98B7296E7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009744"/>
        <c:axId val="1382004944"/>
      </c:lineChart>
      <c:catAx>
        <c:axId val="138200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2004944"/>
        <c:crosses val="autoZero"/>
        <c:auto val="1"/>
        <c:lblAlgn val="ctr"/>
        <c:lblOffset val="100"/>
        <c:noMultiLvlLbl val="0"/>
      </c:catAx>
      <c:valAx>
        <c:axId val="138200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200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Consumo Metano [kWh] - Annuale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'Energia Termica'!$C$43:$H$43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'Energia Termica'!$C$56:$H$56</c:f>
              <c:numCache>
                <c:formatCode>#,##0</c:formatCode>
                <c:ptCount val="6"/>
                <c:pt idx="0">
                  <c:v>7901092.4857342206</c:v>
                </c:pt>
                <c:pt idx="1">
                  <c:v>7775802.0042517195</c:v>
                </c:pt>
                <c:pt idx="2">
                  <c:v>7722778.2261760002</c:v>
                </c:pt>
                <c:pt idx="3">
                  <c:v>7814553.6034287009</c:v>
                </c:pt>
                <c:pt idx="4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1-409D-8117-3D94A98E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440080"/>
        <c:axId val="81439120"/>
      </c:barChart>
      <c:catAx>
        <c:axId val="8144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439120"/>
        <c:crosses val="autoZero"/>
        <c:auto val="1"/>
        <c:lblAlgn val="ctr"/>
        <c:lblOffset val="100"/>
        <c:noMultiLvlLbl val="0"/>
      </c:catAx>
      <c:valAx>
        <c:axId val="8143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44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Totale</a:t>
            </a:r>
            <a:r>
              <a:rPr lang="it-IT" baseline="0"/>
              <a:t> rifiuti prodotti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27277083094824"/>
          <c:y val="0.12462092956083835"/>
          <c:w val="0.84953056958348705"/>
          <c:h val="0.535695035728189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Rifiuti!$F$3</c:f>
              <c:strCache>
                <c:ptCount val="1"/>
                <c:pt idx="0">
                  <c:v>kg prodotti 2022</c:v>
                </c:pt>
              </c:strCache>
            </c:strRef>
          </c:tx>
          <c:invertIfNegative val="0"/>
          <c:cat>
            <c:strRef>
              <c:f>Rifiuti!$B$4:$B$21</c:f>
              <c:strCache>
                <c:ptCount val="18"/>
                <c:pt idx="0">
                  <c:v>040222</c:v>
                </c:pt>
                <c:pt idx="1">
                  <c:v>080318</c:v>
                </c:pt>
                <c:pt idx="2">
                  <c:v>150101</c:v>
                </c:pt>
                <c:pt idx="3">
                  <c:v>150102</c:v>
                </c:pt>
                <c:pt idx="4">
                  <c:v>150103</c:v>
                </c:pt>
                <c:pt idx="5">
                  <c:v>150104</c:v>
                </c:pt>
                <c:pt idx="6">
                  <c:v>150106</c:v>
                </c:pt>
                <c:pt idx="7">
                  <c:v>150110*</c:v>
                </c:pt>
                <c:pt idx="8">
                  <c:v>150111*</c:v>
                </c:pt>
                <c:pt idx="9">
                  <c:v>160211*</c:v>
                </c:pt>
                <c:pt idx="10">
                  <c:v>160214</c:v>
                </c:pt>
                <c:pt idx="11">
                  <c:v>160216</c:v>
                </c:pt>
                <c:pt idx="12">
                  <c:v>160601*</c:v>
                </c:pt>
                <c:pt idx="13">
                  <c:v>160708*</c:v>
                </c:pt>
                <c:pt idx="14">
                  <c:v>170405</c:v>
                </c:pt>
                <c:pt idx="15">
                  <c:v>170411</c:v>
                </c:pt>
                <c:pt idx="16">
                  <c:v>170603*</c:v>
                </c:pt>
                <c:pt idx="17">
                  <c:v>200201</c:v>
                </c:pt>
              </c:strCache>
            </c:strRef>
          </c:cat>
          <c:val>
            <c:numRef>
              <c:f>Rifiuti!$F$4:$F$21</c:f>
              <c:numCache>
                <c:formatCode>#,##0</c:formatCode>
                <c:ptCount val="18"/>
                <c:pt idx="2">
                  <c:v>60570</c:v>
                </c:pt>
                <c:pt idx="3">
                  <c:v>4310</c:v>
                </c:pt>
                <c:pt idx="4">
                  <c:v>14630</c:v>
                </c:pt>
                <c:pt idx="6">
                  <c:v>18400</c:v>
                </c:pt>
                <c:pt idx="7">
                  <c:v>400</c:v>
                </c:pt>
                <c:pt idx="13">
                  <c:v>700</c:v>
                </c:pt>
                <c:pt idx="17">
                  <c:v>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5-4AD8-8027-D58285702F2B}"/>
            </c:ext>
          </c:extLst>
        </c:ser>
        <c:ser>
          <c:idx val="1"/>
          <c:order val="1"/>
          <c:tx>
            <c:strRef>
              <c:f>Rifiuti!$G$3</c:f>
              <c:strCache>
                <c:ptCount val="1"/>
                <c:pt idx="0">
                  <c:v>kg prodotti 2023</c:v>
                </c:pt>
              </c:strCache>
            </c:strRef>
          </c:tx>
          <c:invertIfNegative val="0"/>
          <c:cat>
            <c:strRef>
              <c:f>Rifiuti!$B$4:$B$21</c:f>
              <c:strCache>
                <c:ptCount val="18"/>
                <c:pt idx="0">
                  <c:v>040222</c:v>
                </c:pt>
                <c:pt idx="1">
                  <c:v>080318</c:v>
                </c:pt>
                <c:pt idx="2">
                  <c:v>150101</c:v>
                </c:pt>
                <c:pt idx="3">
                  <c:v>150102</c:v>
                </c:pt>
                <c:pt idx="4">
                  <c:v>150103</c:v>
                </c:pt>
                <c:pt idx="5">
                  <c:v>150104</c:v>
                </c:pt>
                <c:pt idx="6">
                  <c:v>150106</c:v>
                </c:pt>
                <c:pt idx="7">
                  <c:v>150110*</c:v>
                </c:pt>
                <c:pt idx="8">
                  <c:v>150111*</c:v>
                </c:pt>
                <c:pt idx="9">
                  <c:v>160211*</c:v>
                </c:pt>
                <c:pt idx="10">
                  <c:v>160214</c:v>
                </c:pt>
                <c:pt idx="11">
                  <c:v>160216</c:v>
                </c:pt>
                <c:pt idx="12">
                  <c:v>160601*</c:v>
                </c:pt>
                <c:pt idx="13">
                  <c:v>160708*</c:v>
                </c:pt>
                <c:pt idx="14">
                  <c:v>170405</c:v>
                </c:pt>
                <c:pt idx="15">
                  <c:v>170411</c:v>
                </c:pt>
                <c:pt idx="16">
                  <c:v>170603*</c:v>
                </c:pt>
                <c:pt idx="17">
                  <c:v>200201</c:v>
                </c:pt>
              </c:strCache>
            </c:strRef>
          </c:cat>
          <c:val>
            <c:numRef>
              <c:f>Rifiuti!$G$4:$G$21</c:f>
              <c:numCache>
                <c:formatCode>#,##0</c:formatCode>
                <c:ptCount val="18"/>
                <c:pt idx="0">
                  <c:v>2510</c:v>
                </c:pt>
                <c:pt idx="2">
                  <c:v>65430</c:v>
                </c:pt>
                <c:pt idx="3">
                  <c:v>10910</c:v>
                </c:pt>
                <c:pt idx="4">
                  <c:v>14640</c:v>
                </c:pt>
                <c:pt idx="5">
                  <c:v>500</c:v>
                </c:pt>
                <c:pt idx="6">
                  <c:v>0</c:v>
                </c:pt>
                <c:pt idx="7">
                  <c:v>425</c:v>
                </c:pt>
                <c:pt idx="8">
                  <c:v>10</c:v>
                </c:pt>
                <c:pt idx="9">
                  <c:v>190</c:v>
                </c:pt>
                <c:pt idx="11">
                  <c:v>1955</c:v>
                </c:pt>
                <c:pt idx="14">
                  <c:v>5750</c:v>
                </c:pt>
                <c:pt idx="15">
                  <c:v>175</c:v>
                </c:pt>
                <c:pt idx="17">
                  <c:v>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5-4AD8-8027-D58285702F2B}"/>
            </c:ext>
          </c:extLst>
        </c:ser>
        <c:ser>
          <c:idx val="2"/>
          <c:order val="2"/>
          <c:tx>
            <c:strRef>
              <c:f>Rifiuti!$H$3</c:f>
              <c:strCache>
                <c:ptCount val="1"/>
                <c:pt idx="0">
                  <c:v>kg prodotti 2024</c:v>
                </c:pt>
              </c:strCache>
            </c:strRef>
          </c:tx>
          <c:invertIfNegative val="0"/>
          <c:cat>
            <c:strRef>
              <c:f>Rifiuti!$B$4:$B$21</c:f>
              <c:strCache>
                <c:ptCount val="18"/>
                <c:pt idx="0">
                  <c:v>040222</c:v>
                </c:pt>
                <c:pt idx="1">
                  <c:v>080318</c:v>
                </c:pt>
                <c:pt idx="2">
                  <c:v>150101</c:v>
                </c:pt>
                <c:pt idx="3">
                  <c:v>150102</c:v>
                </c:pt>
                <c:pt idx="4">
                  <c:v>150103</c:v>
                </c:pt>
                <c:pt idx="5">
                  <c:v>150104</c:v>
                </c:pt>
                <c:pt idx="6">
                  <c:v>150106</c:v>
                </c:pt>
                <c:pt idx="7">
                  <c:v>150110*</c:v>
                </c:pt>
                <c:pt idx="8">
                  <c:v>150111*</c:v>
                </c:pt>
                <c:pt idx="9">
                  <c:v>160211*</c:v>
                </c:pt>
                <c:pt idx="10">
                  <c:v>160214</c:v>
                </c:pt>
                <c:pt idx="11">
                  <c:v>160216</c:v>
                </c:pt>
                <c:pt idx="12">
                  <c:v>160601*</c:v>
                </c:pt>
                <c:pt idx="13">
                  <c:v>160708*</c:v>
                </c:pt>
                <c:pt idx="14">
                  <c:v>170405</c:v>
                </c:pt>
                <c:pt idx="15">
                  <c:v>170411</c:v>
                </c:pt>
                <c:pt idx="16">
                  <c:v>170603*</c:v>
                </c:pt>
                <c:pt idx="17">
                  <c:v>200201</c:v>
                </c:pt>
              </c:strCache>
            </c:strRef>
          </c:cat>
          <c:val>
            <c:numRef>
              <c:f>Rifiuti!$H$4:$H$21</c:f>
              <c:numCache>
                <c:formatCode>#,##0</c:formatCode>
                <c:ptCount val="18"/>
                <c:pt idx="0">
                  <c:v>8700</c:v>
                </c:pt>
                <c:pt idx="1">
                  <c:v>8</c:v>
                </c:pt>
                <c:pt idx="2">
                  <c:v>56190</c:v>
                </c:pt>
                <c:pt idx="3">
                  <c:v>10660</c:v>
                </c:pt>
                <c:pt idx="4">
                  <c:v>13120</c:v>
                </c:pt>
                <c:pt idx="7">
                  <c:v>205</c:v>
                </c:pt>
                <c:pt idx="10">
                  <c:v>100</c:v>
                </c:pt>
                <c:pt idx="12">
                  <c:v>90</c:v>
                </c:pt>
                <c:pt idx="14">
                  <c:v>5925</c:v>
                </c:pt>
                <c:pt idx="15">
                  <c:v>185</c:v>
                </c:pt>
                <c:pt idx="1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95-4AD8-8027-D58285702F2B}"/>
            </c:ext>
          </c:extLst>
        </c:ser>
        <c:ser>
          <c:idx val="3"/>
          <c:order val="3"/>
          <c:tx>
            <c:strRef>
              <c:f>Rifiuti!$I$3</c:f>
              <c:strCache>
                <c:ptCount val="1"/>
                <c:pt idx="0">
                  <c:v>kg prodotti 2025</c:v>
                </c:pt>
              </c:strCache>
            </c:strRef>
          </c:tx>
          <c:invertIfNegative val="0"/>
          <c:cat>
            <c:strRef>
              <c:f>Rifiuti!$B$4:$B$21</c:f>
              <c:strCache>
                <c:ptCount val="18"/>
                <c:pt idx="0">
                  <c:v>040222</c:v>
                </c:pt>
                <c:pt idx="1">
                  <c:v>080318</c:v>
                </c:pt>
                <c:pt idx="2">
                  <c:v>150101</c:v>
                </c:pt>
                <c:pt idx="3">
                  <c:v>150102</c:v>
                </c:pt>
                <c:pt idx="4">
                  <c:v>150103</c:v>
                </c:pt>
                <c:pt idx="5">
                  <c:v>150104</c:v>
                </c:pt>
                <c:pt idx="6">
                  <c:v>150106</c:v>
                </c:pt>
                <c:pt idx="7">
                  <c:v>150110*</c:v>
                </c:pt>
                <c:pt idx="8">
                  <c:v>150111*</c:v>
                </c:pt>
                <c:pt idx="9">
                  <c:v>160211*</c:v>
                </c:pt>
                <c:pt idx="10">
                  <c:v>160214</c:v>
                </c:pt>
                <c:pt idx="11">
                  <c:v>160216</c:v>
                </c:pt>
                <c:pt idx="12">
                  <c:v>160601*</c:v>
                </c:pt>
                <c:pt idx="13">
                  <c:v>160708*</c:v>
                </c:pt>
                <c:pt idx="14">
                  <c:v>170405</c:v>
                </c:pt>
                <c:pt idx="15">
                  <c:v>170411</c:v>
                </c:pt>
                <c:pt idx="16">
                  <c:v>170603*</c:v>
                </c:pt>
                <c:pt idx="17">
                  <c:v>200201</c:v>
                </c:pt>
              </c:strCache>
            </c:strRef>
          </c:cat>
          <c:val>
            <c:numRef>
              <c:f>Rifiuti!$I$4:$I$21</c:f>
              <c:numCache>
                <c:formatCode>#,##0</c:formatCode>
                <c:ptCount val="18"/>
                <c:pt idx="0">
                  <c:v>3600</c:v>
                </c:pt>
                <c:pt idx="1">
                  <c:v>23</c:v>
                </c:pt>
                <c:pt idx="2">
                  <c:v>74150</c:v>
                </c:pt>
                <c:pt idx="3">
                  <c:v>15100</c:v>
                </c:pt>
                <c:pt idx="4">
                  <c:v>14410</c:v>
                </c:pt>
                <c:pt idx="7">
                  <c:v>222</c:v>
                </c:pt>
                <c:pt idx="12">
                  <c:v>140</c:v>
                </c:pt>
                <c:pt idx="14">
                  <c:v>3830</c:v>
                </c:pt>
                <c:pt idx="15">
                  <c:v>195</c:v>
                </c:pt>
                <c:pt idx="17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95-4AD8-8027-D58285702F2B}"/>
            </c:ext>
          </c:extLst>
        </c:ser>
        <c:ser>
          <c:idx val="4"/>
          <c:order val="4"/>
          <c:tx>
            <c:strRef>
              <c:f>Rifiuti!$J$3</c:f>
              <c:strCache>
                <c:ptCount val="1"/>
                <c:pt idx="0">
                  <c:v>kg prodotti 2026</c:v>
                </c:pt>
              </c:strCache>
            </c:strRef>
          </c:tx>
          <c:invertIfNegative val="0"/>
          <c:cat>
            <c:strRef>
              <c:f>Rifiuti!$B$4:$B$21</c:f>
              <c:strCache>
                <c:ptCount val="18"/>
                <c:pt idx="0">
                  <c:v>040222</c:v>
                </c:pt>
                <c:pt idx="1">
                  <c:v>080318</c:v>
                </c:pt>
                <c:pt idx="2">
                  <c:v>150101</c:v>
                </c:pt>
                <c:pt idx="3">
                  <c:v>150102</c:v>
                </c:pt>
                <c:pt idx="4">
                  <c:v>150103</c:v>
                </c:pt>
                <c:pt idx="5">
                  <c:v>150104</c:v>
                </c:pt>
                <c:pt idx="6">
                  <c:v>150106</c:v>
                </c:pt>
                <c:pt idx="7">
                  <c:v>150110*</c:v>
                </c:pt>
                <c:pt idx="8">
                  <c:v>150111*</c:v>
                </c:pt>
                <c:pt idx="9">
                  <c:v>160211*</c:v>
                </c:pt>
                <c:pt idx="10">
                  <c:v>160214</c:v>
                </c:pt>
                <c:pt idx="11">
                  <c:v>160216</c:v>
                </c:pt>
                <c:pt idx="12">
                  <c:v>160601*</c:v>
                </c:pt>
                <c:pt idx="13">
                  <c:v>160708*</c:v>
                </c:pt>
                <c:pt idx="14">
                  <c:v>170405</c:v>
                </c:pt>
                <c:pt idx="15">
                  <c:v>170411</c:v>
                </c:pt>
                <c:pt idx="16">
                  <c:v>170603*</c:v>
                </c:pt>
                <c:pt idx="17">
                  <c:v>200201</c:v>
                </c:pt>
              </c:strCache>
            </c:strRef>
          </c:cat>
          <c:val>
            <c:numRef>
              <c:f>Rifiuti!$J$4:$J$21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4-3895-4AD8-8027-D58285702F2B}"/>
            </c:ext>
          </c:extLst>
        </c:ser>
        <c:ser>
          <c:idx val="5"/>
          <c:order val="5"/>
          <c:tx>
            <c:strRef>
              <c:f>Rifiuti!$K$3</c:f>
              <c:strCache>
                <c:ptCount val="1"/>
                <c:pt idx="0">
                  <c:v>kg prodotti 2027</c:v>
                </c:pt>
              </c:strCache>
            </c:strRef>
          </c:tx>
          <c:invertIfNegative val="0"/>
          <c:cat>
            <c:strRef>
              <c:f>Rifiuti!$B$4:$B$21</c:f>
              <c:strCache>
                <c:ptCount val="18"/>
                <c:pt idx="0">
                  <c:v>040222</c:v>
                </c:pt>
                <c:pt idx="1">
                  <c:v>080318</c:v>
                </c:pt>
                <c:pt idx="2">
                  <c:v>150101</c:v>
                </c:pt>
                <c:pt idx="3">
                  <c:v>150102</c:v>
                </c:pt>
                <c:pt idx="4">
                  <c:v>150103</c:v>
                </c:pt>
                <c:pt idx="5">
                  <c:v>150104</c:v>
                </c:pt>
                <c:pt idx="6">
                  <c:v>150106</c:v>
                </c:pt>
                <c:pt idx="7">
                  <c:v>150110*</c:v>
                </c:pt>
                <c:pt idx="8">
                  <c:v>150111*</c:v>
                </c:pt>
                <c:pt idx="9">
                  <c:v>160211*</c:v>
                </c:pt>
                <c:pt idx="10">
                  <c:v>160214</c:v>
                </c:pt>
                <c:pt idx="11">
                  <c:v>160216</c:v>
                </c:pt>
                <c:pt idx="12">
                  <c:v>160601*</c:v>
                </c:pt>
                <c:pt idx="13">
                  <c:v>160708*</c:v>
                </c:pt>
                <c:pt idx="14">
                  <c:v>170405</c:v>
                </c:pt>
                <c:pt idx="15">
                  <c:v>170411</c:v>
                </c:pt>
                <c:pt idx="16">
                  <c:v>170603*</c:v>
                </c:pt>
                <c:pt idx="17">
                  <c:v>200201</c:v>
                </c:pt>
              </c:strCache>
            </c:strRef>
          </c:cat>
          <c:val>
            <c:numRef>
              <c:f>Rifiuti!$K$4:$K$21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5-3895-4AD8-8027-D58285702F2B}"/>
            </c:ext>
          </c:extLst>
        </c:ser>
        <c:ser>
          <c:idx val="6"/>
          <c:order val="6"/>
          <c:tx>
            <c:strRef>
              <c:f>Rifiuti!$L$3</c:f>
              <c:strCache>
                <c:ptCount val="1"/>
                <c:pt idx="0">
                  <c:v>kg prodotti 2028</c:v>
                </c:pt>
              </c:strCache>
            </c:strRef>
          </c:tx>
          <c:invertIfNegative val="0"/>
          <c:cat>
            <c:strRef>
              <c:f>Rifiuti!$B$4:$B$21</c:f>
              <c:strCache>
                <c:ptCount val="18"/>
                <c:pt idx="0">
                  <c:v>040222</c:v>
                </c:pt>
                <c:pt idx="1">
                  <c:v>080318</c:v>
                </c:pt>
                <c:pt idx="2">
                  <c:v>150101</c:v>
                </c:pt>
                <c:pt idx="3">
                  <c:v>150102</c:v>
                </c:pt>
                <c:pt idx="4">
                  <c:v>150103</c:v>
                </c:pt>
                <c:pt idx="5">
                  <c:v>150104</c:v>
                </c:pt>
                <c:pt idx="6">
                  <c:v>150106</c:v>
                </c:pt>
                <c:pt idx="7">
                  <c:v>150110*</c:v>
                </c:pt>
                <c:pt idx="8">
                  <c:v>150111*</c:v>
                </c:pt>
                <c:pt idx="9">
                  <c:v>160211*</c:v>
                </c:pt>
                <c:pt idx="10">
                  <c:v>160214</c:v>
                </c:pt>
                <c:pt idx="11">
                  <c:v>160216</c:v>
                </c:pt>
                <c:pt idx="12">
                  <c:v>160601*</c:v>
                </c:pt>
                <c:pt idx="13">
                  <c:v>160708*</c:v>
                </c:pt>
                <c:pt idx="14">
                  <c:v>170405</c:v>
                </c:pt>
                <c:pt idx="15">
                  <c:v>170411</c:v>
                </c:pt>
                <c:pt idx="16">
                  <c:v>170603*</c:v>
                </c:pt>
                <c:pt idx="17">
                  <c:v>200201</c:v>
                </c:pt>
              </c:strCache>
            </c:strRef>
          </c:cat>
          <c:val>
            <c:numRef>
              <c:f>Rifiuti!$L$4:$L$21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6-3895-4AD8-8027-D58285702F2B}"/>
            </c:ext>
          </c:extLst>
        </c:ser>
        <c:ser>
          <c:idx val="7"/>
          <c:order val="7"/>
          <c:tx>
            <c:strRef>
              <c:f>Rifiuti!$M$3</c:f>
              <c:strCache>
                <c:ptCount val="1"/>
                <c:pt idx="0">
                  <c:v>kg prodotti 2029</c:v>
                </c:pt>
              </c:strCache>
            </c:strRef>
          </c:tx>
          <c:invertIfNegative val="0"/>
          <c:cat>
            <c:strRef>
              <c:f>Rifiuti!$B$4:$B$21</c:f>
              <c:strCache>
                <c:ptCount val="18"/>
                <c:pt idx="0">
                  <c:v>040222</c:v>
                </c:pt>
                <c:pt idx="1">
                  <c:v>080318</c:v>
                </c:pt>
                <c:pt idx="2">
                  <c:v>150101</c:v>
                </c:pt>
                <c:pt idx="3">
                  <c:v>150102</c:v>
                </c:pt>
                <c:pt idx="4">
                  <c:v>150103</c:v>
                </c:pt>
                <c:pt idx="5">
                  <c:v>150104</c:v>
                </c:pt>
                <c:pt idx="6">
                  <c:v>150106</c:v>
                </c:pt>
                <c:pt idx="7">
                  <c:v>150110*</c:v>
                </c:pt>
                <c:pt idx="8">
                  <c:v>150111*</c:v>
                </c:pt>
                <c:pt idx="9">
                  <c:v>160211*</c:v>
                </c:pt>
                <c:pt idx="10">
                  <c:v>160214</c:v>
                </c:pt>
                <c:pt idx="11">
                  <c:v>160216</c:v>
                </c:pt>
                <c:pt idx="12">
                  <c:v>160601*</c:v>
                </c:pt>
                <c:pt idx="13">
                  <c:v>160708*</c:v>
                </c:pt>
                <c:pt idx="14">
                  <c:v>170405</c:v>
                </c:pt>
                <c:pt idx="15">
                  <c:v>170411</c:v>
                </c:pt>
                <c:pt idx="16">
                  <c:v>170603*</c:v>
                </c:pt>
                <c:pt idx="17">
                  <c:v>200201</c:v>
                </c:pt>
              </c:strCache>
            </c:strRef>
          </c:cat>
          <c:val>
            <c:numRef>
              <c:f>Rifiuti!$M$4:$M$21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7-3895-4AD8-8027-D58285702F2B}"/>
            </c:ext>
          </c:extLst>
        </c:ser>
        <c:ser>
          <c:idx val="8"/>
          <c:order val="8"/>
          <c:tx>
            <c:strRef>
              <c:f>Rifiuti!$N$3</c:f>
              <c:strCache>
                <c:ptCount val="1"/>
                <c:pt idx="0">
                  <c:v>kg prodotti 2030</c:v>
                </c:pt>
              </c:strCache>
            </c:strRef>
          </c:tx>
          <c:invertIfNegative val="0"/>
          <c:cat>
            <c:strRef>
              <c:f>Rifiuti!$B$4:$B$21</c:f>
              <c:strCache>
                <c:ptCount val="18"/>
                <c:pt idx="0">
                  <c:v>040222</c:v>
                </c:pt>
                <c:pt idx="1">
                  <c:v>080318</c:v>
                </c:pt>
                <c:pt idx="2">
                  <c:v>150101</c:v>
                </c:pt>
                <c:pt idx="3">
                  <c:v>150102</c:v>
                </c:pt>
                <c:pt idx="4">
                  <c:v>150103</c:v>
                </c:pt>
                <c:pt idx="5">
                  <c:v>150104</c:v>
                </c:pt>
                <c:pt idx="6">
                  <c:v>150106</c:v>
                </c:pt>
                <c:pt idx="7">
                  <c:v>150110*</c:v>
                </c:pt>
                <c:pt idx="8">
                  <c:v>150111*</c:v>
                </c:pt>
                <c:pt idx="9">
                  <c:v>160211*</c:v>
                </c:pt>
                <c:pt idx="10">
                  <c:v>160214</c:v>
                </c:pt>
                <c:pt idx="11">
                  <c:v>160216</c:v>
                </c:pt>
                <c:pt idx="12">
                  <c:v>160601*</c:v>
                </c:pt>
                <c:pt idx="13">
                  <c:v>160708*</c:v>
                </c:pt>
                <c:pt idx="14">
                  <c:v>170405</c:v>
                </c:pt>
                <c:pt idx="15">
                  <c:v>170411</c:v>
                </c:pt>
                <c:pt idx="16">
                  <c:v>170603*</c:v>
                </c:pt>
                <c:pt idx="17">
                  <c:v>200201</c:v>
                </c:pt>
              </c:strCache>
            </c:strRef>
          </c:cat>
          <c:val>
            <c:numRef>
              <c:f>Rifiuti!$N$4:$N$21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8-3895-4AD8-8027-D58285702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681344"/>
        <c:axId val="52695424"/>
        <c:axId val="0"/>
      </c:bar3DChart>
      <c:catAx>
        <c:axId val="5268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695424"/>
        <c:crosses val="autoZero"/>
        <c:auto val="1"/>
        <c:lblAlgn val="ctr"/>
        <c:lblOffset val="100"/>
        <c:noMultiLvlLbl val="0"/>
      </c:catAx>
      <c:valAx>
        <c:axId val="5269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68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0644422678183002E-2"/>
          <c:y val="0.82857828178176296"/>
          <c:w val="0.82650910154808999"/>
          <c:h val="0.171421718218237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Rifiuti prodotti</a:t>
            </a:r>
            <a:r>
              <a:rPr lang="it-IT" baseline="0"/>
              <a:t> pericolosi e NON periolosi</a:t>
            </a:r>
            <a:endParaRPr lang="it-IT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724759405074369"/>
          <c:y val="0.13103603603603606"/>
          <c:w val="0.74453783902012238"/>
          <c:h val="0.656359154430020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Rifiuti!$F$25</c:f>
              <c:strCache>
                <c:ptCount val="1"/>
                <c:pt idx="0">
                  <c:v>Totale rifiuti pericolosi</c:v>
                </c:pt>
              </c:strCache>
            </c:strRef>
          </c:tx>
          <c:invertIfNegative val="0"/>
          <c:cat>
            <c:numRef>
              <c:f>Rifiuti!$A$26:$A$34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f>Rifiuti!$F$26:$F$34</c:f>
              <c:numCache>
                <c:formatCode>#,##0</c:formatCode>
                <c:ptCount val="9"/>
                <c:pt idx="0">
                  <c:v>1100</c:v>
                </c:pt>
                <c:pt idx="1">
                  <c:v>625</c:v>
                </c:pt>
                <c:pt idx="2">
                  <c:v>495</c:v>
                </c:pt>
                <c:pt idx="3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B-460F-AF16-01AAA19C9FF8}"/>
            </c:ext>
          </c:extLst>
        </c:ser>
        <c:ser>
          <c:idx val="1"/>
          <c:order val="1"/>
          <c:tx>
            <c:strRef>
              <c:f>Rifiuti!$G$25</c:f>
              <c:strCache>
                <c:ptCount val="1"/>
                <c:pt idx="0">
                  <c:v>Totale rifiuti NON pericolosi</c:v>
                </c:pt>
              </c:strCache>
            </c:strRef>
          </c:tx>
          <c:invertIfNegative val="0"/>
          <c:cat>
            <c:numRef>
              <c:f>Rifiuti!$A$26:$A$34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f>Rifiuti!$G$26:$G$34</c:f>
              <c:numCache>
                <c:formatCode>#,##0</c:formatCode>
                <c:ptCount val="9"/>
                <c:pt idx="0">
                  <c:v>99270</c:v>
                </c:pt>
                <c:pt idx="1">
                  <c:v>107570</c:v>
                </c:pt>
                <c:pt idx="2">
                  <c:v>94888</c:v>
                </c:pt>
                <c:pt idx="3">
                  <c:v>112908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4B-460F-AF16-01AAA19C9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715520"/>
        <c:axId val="52717056"/>
        <c:axId val="0"/>
      </c:bar3DChart>
      <c:catAx>
        <c:axId val="527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717056"/>
        <c:crosses val="autoZero"/>
        <c:auto val="1"/>
        <c:lblAlgn val="ctr"/>
        <c:lblOffset val="100"/>
        <c:noMultiLvlLbl val="0"/>
      </c:catAx>
      <c:valAx>
        <c:axId val="5271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71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400765529308839"/>
          <c:y val="0.87510324215253443"/>
          <c:w val="0.27789314976551699"/>
          <c:h val="0.12489677899081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Totale rifiuti esclusi rifiuti</a:t>
            </a:r>
            <a:r>
              <a:rPr lang="it-IT" baseline="0"/>
              <a:t> straordinari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8031496062992"/>
          <c:y val="0.1300462962962963"/>
          <c:w val="0.77326027996500446"/>
          <c:h val="0.660702464275298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Rifiuti!$C$25</c:f>
              <c:strCache>
                <c:ptCount val="1"/>
                <c:pt idx="0">
                  <c:v>Totale rifiuti avviati a recupero</c:v>
                </c:pt>
              </c:strCache>
            </c:strRef>
          </c:tx>
          <c:invertIfNegative val="0"/>
          <c:cat>
            <c:numRef>
              <c:f>Rifiuti!$A$26:$A$34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f>Rifiuti!$C$26:$C$34</c:f>
              <c:numCache>
                <c:formatCode>#,##0</c:formatCode>
                <c:ptCount val="9"/>
                <c:pt idx="0">
                  <c:v>99670</c:v>
                </c:pt>
                <c:pt idx="1">
                  <c:v>108185</c:v>
                </c:pt>
                <c:pt idx="2">
                  <c:v>95183</c:v>
                </c:pt>
                <c:pt idx="3">
                  <c:v>113270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F-4529-B160-AB0C5D541004}"/>
            </c:ext>
          </c:extLst>
        </c:ser>
        <c:ser>
          <c:idx val="1"/>
          <c:order val="1"/>
          <c:tx>
            <c:strRef>
              <c:f>Rifiuti!$D$25</c:f>
              <c:strCache>
                <c:ptCount val="1"/>
                <c:pt idx="0">
                  <c:v>Totale rifiuti avviati a smaltimento</c:v>
                </c:pt>
              </c:strCache>
            </c:strRef>
          </c:tx>
          <c:invertIfNegative val="0"/>
          <c:cat>
            <c:numRef>
              <c:f>Rifiuti!$A$26:$A$34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f>Rifiuti!$D$26:$D$34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F-4529-B160-AB0C5D541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26112"/>
        <c:axId val="52827648"/>
        <c:axId val="0"/>
      </c:bar3DChart>
      <c:catAx>
        <c:axId val="528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827648"/>
        <c:crosses val="autoZero"/>
        <c:auto val="1"/>
        <c:lblAlgn val="ctr"/>
        <c:lblOffset val="100"/>
        <c:noMultiLvlLbl val="0"/>
      </c:catAx>
      <c:valAx>
        <c:axId val="5282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8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8841207349081373E-2"/>
          <c:y val="0.81705601888521351"/>
          <c:w val="0.28188546886184679"/>
          <c:h val="0.18294407643489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Scarico idrico - mensile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'Scarico idrico'!$B$4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'Scarico idrico'!$A$5:$A$16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'Scarico idrico'!$B$5:$B$16</c:f>
              <c:numCache>
                <c:formatCode>General</c:formatCode>
                <c:ptCount val="12"/>
                <c:pt idx="0">
                  <c:v>10750</c:v>
                </c:pt>
                <c:pt idx="1">
                  <c:v>10544</c:v>
                </c:pt>
                <c:pt idx="2">
                  <c:v>12974</c:v>
                </c:pt>
                <c:pt idx="3">
                  <c:v>12142</c:v>
                </c:pt>
                <c:pt idx="4">
                  <c:v>13512</c:v>
                </c:pt>
                <c:pt idx="5">
                  <c:v>15346</c:v>
                </c:pt>
                <c:pt idx="6">
                  <c:v>12197</c:v>
                </c:pt>
                <c:pt idx="7">
                  <c:v>2234</c:v>
                </c:pt>
                <c:pt idx="8">
                  <c:v>20369</c:v>
                </c:pt>
                <c:pt idx="9">
                  <c:v>14730</c:v>
                </c:pt>
                <c:pt idx="10">
                  <c:v>14276</c:v>
                </c:pt>
                <c:pt idx="11">
                  <c:v>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1-4066-89AC-37EF46E296A4}"/>
            </c:ext>
          </c:extLst>
        </c:ser>
        <c:ser>
          <c:idx val="1"/>
          <c:order val="1"/>
          <c:tx>
            <c:strRef>
              <c:f>'Scarico idrico'!$C$4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'Scarico idrico'!$A$5:$A$16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'Scarico idrico'!$C$5:$C$16</c:f>
              <c:numCache>
                <c:formatCode>General</c:formatCode>
                <c:ptCount val="12"/>
                <c:pt idx="0">
                  <c:v>12537</c:v>
                </c:pt>
                <c:pt idx="1">
                  <c:v>13979</c:v>
                </c:pt>
                <c:pt idx="2">
                  <c:v>15481</c:v>
                </c:pt>
                <c:pt idx="3">
                  <c:v>9648</c:v>
                </c:pt>
                <c:pt idx="4">
                  <c:v>13908</c:v>
                </c:pt>
                <c:pt idx="5">
                  <c:v>13679</c:v>
                </c:pt>
                <c:pt idx="6">
                  <c:v>10348</c:v>
                </c:pt>
                <c:pt idx="7">
                  <c:v>3060</c:v>
                </c:pt>
                <c:pt idx="8">
                  <c:v>16835</c:v>
                </c:pt>
                <c:pt idx="9">
                  <c:v>15000</c:v>
                </c:pt>
                <c:pt idx="10">
                  <c:v>12942</c:v>
                </c:pt>
                <c:pt idx="11">
                  <c:v>7487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1-4066-89AC-37EF46E296A4}"/>
            </c:ext>
          </c:extLst>
        </c:ser>
        <c:ser>
          <c:idx val="2"/>
          <c:order val="2"/>
          <c:tx>
            <c:strRef>
              <c:f>'Scarico idrico'!$D$4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'Scarico idrico'!$A$5:$A$16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'Scarico idrico'!$D$5:$D$16</c:f>
              <c:numCache>
                <c:formatCode>#,##0</c:formatCode>
                <c:ptCount val="12"/>
                <c:pt idx="0">
                  <c:v>12919</c:v>
                </c:pt>
                <c:pt idx="1">
                  <c:v>12293</c:v>
                </c:pt>
                <c:pt idx="2">
                  <c:v>11477</c:v>
                </c:pt>
                <c:pt idx="3">
                  <c:v>11383</c:v>
                </c:pt>
                <c:pt idx="4">
                  <c:v>12029</c:v>
                </c:pt>
                <c:pt idx="5">
                  <c:v>14004</c:v>
                </c:pt>
                <c:pt idx="6">
                  <c:v>12934</c:v>
                </c:pt>
                <c:pt idx="7">
                  <c:v>3884</c:v>
                </c:pt>
                <c:pt idx="8">
                  <c:v>17450</c:v>
                </c:pt>
                <c:pt idx="9">
                  <c:v>21292</c:v>
                </c:pt>
                <c:pt idx="10">
                  <c:v>15741</c:v>
                </c:pt>
                <c:pt idx="11">
                  <c:v>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C1-4066-89AC-37EF46E296A4}"/>
            </c:ext>
          </c:extLst>
        </c:ser>
        <c:ser>
          <c:idx val="3"/>
          <c:order val="3"/>
          <c:tx>
            <c:strRef>
              <c:f>'Scarico idrico'!$E$4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'Scarico idrico'!$A$5:$A$16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'Scarico idrico'!$E$5:$E$16</c:f>
              <c:numCache>
                <c:formatCode>General</c:formatCode>
                <c:ptCount val="12"/>
                <c:pt idx="0">
                  <c:v>16575</c:v>
                </c:pt>
                <c:pt idx="1">
                  <c:v>13353</c:v>
                </c:pt>
                <c:pt idx="2">
                  <c:v>14328</c:v>
                </c:pt>
                <c:pt idx="3">
                  <c:v>12052</c:v>
                </c:pt>
                <c:pt idx="4">
                  <c:v>12360</c:v>
                </c:pt>
                <c:pt idx="5">
                  <c:v>11329</c:v>
                </c:pt>
                <c:pt idx="6">
                  <c:v>13324</c:v>
                </c:pt>
                <c:pt idx="7">
                  <c:v>3448</c:v>
                </c:pt>
                <c:pt idx="8">
                  <c:v>17324</c:v>
                </c:pt>
                <c:pt idx="9">
                  <c:v>16156</c:v>
                </c:pt>
                <c:pt idx="10">
                  <c:v>13487</c:v>
                </c:pt>
                <c:pt idx="11">
                  <c:v>7254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C1-4066-89AC-37EF46E296A4}"/>
            </c:ext>
          </c:extLst>
        </c:ser>
        <c:ser>
          <c:idx val="4"/>
          <c:order val="4"/>
          <c:tx>
            <c:strRef>
              <c:f>'Scarico idrico'!$F$4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'Scarico idrico'!$A$5:$A$16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'Scarico idrico'!$F$5:$F$16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C1-4066-89AC-37EF46E296A4}"/>
            </c:ext>
          </c:extLst>
        </c:ser>
        <c:ser>
          <c:idx val="5"/>
          <c:order val="5"/>
          <c:tx>
            <c:strRef>
              <c:f>'Scarico idrico'!$G$4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'Scarico idrico'!$A$5:$A$16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'Scarico idrico'!$G$5:$G$16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C1-4066-89AC-37EF46E296A4}"/>
            </c:ext>
          </c:extLst>
        </c:ser>
        <c:ser>
          <c:idx val="6"/>
          <c:order val="6"/>
          <c:tx>
            <c:strRef>
              <c:f>'Scarico idrico'!$H$4</c:f>
              <c:strCache>
                <c:ptCount val="1"/>
                <c:pt idx="0">
                  <c:v>2028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'Scarico idrico'!$A$5:$A$16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'Scarico idrico'!$H$5:$H$16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C1-4066-89AC-37EF46E296A4}"/>
            </c:ext>
          </c:extLst>
        </c:ser>
        <c:ser>
          <c:idx val="7"/>
          <c:order val="7"/>
          <c:tx>
            <c:strRef>
              <c:f>'Scarico idrico'!$I$4</c:f>
              <c:strCache>
                <c:ptCount val="1"/>
                <c:pt idx="0">
                  <c:v>2029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'Scarico idrico'!$A$5:$A$16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'Scarico idrico'!$I$5:$I$16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C1-4066-89AC-37EF46E296A4}"/>
            </c:ext>
          </c:extLst>
        </c:ser>
        <c:ser>
          <c:idx val="8"/>
          <c:order val="8"/>
          <c:tx>
            <c:strRef>
              <c:f>'Scarico idrico'!$J$4</c:f>
              <c:strCache>
                <c:ptCount val="1"/>
                <c:pt idx="0">
                  <c:v>2030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'Scarico idrico'!$A$5:$A$16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'Scarico idrico'!$J$5:$J$16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F-4A16-9FFD-D04BCE3B3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2847935"/>
        <c:axId val="2022853343"/>
      </c:lineChart>
      <c:catAx>
        <c:axId val="202284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2853343"/>
        <c:crosses val="autoZero"/>
        <c:auto val="1"/>
        <c:lblAlgn val="ctr"/>
        <c:lblOffset val="100"/>
        <c:noMultiLvlLbl val="0"/>
      </c:catAx>
      <c:valAx>
        <c:axId val="2022853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284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Scarico idrico - annuale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'Scarico idrico'!$B$4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'Scarico idrico'!$A$4</c:f>
              <c:strCache>
                <c:ptCount val="1"/>
                <c:pt idx="0">
                  <c:v>[m3]</c:v>
                </c:pt>
              </c:strCache>
            </c:strRef>
          </c:cat>
          <c:val>
            <c:numRef>
              <c:f>'Scarico idrico'!$B$17</c:f>
              <c:numCache>
                <c:formatCode>General</c:formatCode>
                <c:ptCount val="1"/>
                <c:pt idx="0">
                  <c:v>148218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6-413F-882A-799363BA0CDF}"/>
            </c:ext>
          </c:extLst>
        </c:ser>
        <c:ser>
          <c:idx val="1"/>
          <c:order val="1"/>
          <c:tx>
            <c:strRef>
              <c:f>'Scarico idrico'!$C$4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'Scarico idrico'!$A$4</c:f>
              <c:strCache>
                <c:ptCount val="1"/>
                <c:pt idx="0">
                  <c:v>[m3]</c:v>
                </c:pt>
              </c:strCache>
            </c:strRef>
          </c:cat>
          <c:val>
            <c:numRef>
              <c:f>'Scarico idrico'!$C$17</c:f>
              <c:numCache>
                <c:formatCode>General</c:formatCode>
                <c:ptCount val="1"/>
                <c:pt idx="0">
                  <c:v>144904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6-413F-882A-799363BA0CDF}"/>
            </c:ext>
          </c:extLst>
        </c:ser>
        <c:ser>
          <c:idx val="2"/>
          <c:order val="2"/>
          <c:tx>
            <c:strRef>
              <c:f>'Scarico idrico'!$D$4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'Scarico idrico'!$A$4</c:f>
              <c:strCache>
                <c:ptCount val="1"/>
                <c:pt idx="0">
                  <c:v>[m3]</c:v>
                </c:pt>
              </c:strCache>
            </c:strRef>
          </c:cat>
          <c:val>
            <c:numRef>
              <c:f>'Scarico idrico'!$D$17</c:f>
              <c:numCache>
                <c:formatCode>General</c:formatCode>
                <c:ptCount val="1"/>
                <c:pt idx="0">
                  <c:v>154685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86-413F-882A-799363BA0CDF}"/>
            </c:ext>
          </c:extLst>
        </c:ser>
        <c:ser>
          <c:idx val="3"/>
          <c:order val="3"/>
          <c:tx>
            <c:strRef>
              <c:f>'Scarico idrico'!$E$4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'Scarico idrico'!$A$4</c:f>
              <c:strCache>
                <c:ptCount val="1"/>
                <c:pt idx="0">
                  <c:v>[m3]</c:v>
                </c:pt>
              </c:strCache>
            </c:strRef>
          </c:cat>
          <c:val>
            <c:numRef>
              <c:f>'Scarico idrico'!$E$17</c:f>
              <c:numCache>
                <c:formatCode>General</c:formatCode>
                <c:ptCount val="1"/>
                <c:pt idx="0">
                  <c:v>150990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86-413F-882A-799363BA0CDF}"/>
            </c:ext>
          </c:extLst>
        </c:ser>
        <c:ser>
          <c:idx val="4"/>
          <c:order val="4"/>
          <c:tx>
            <c:strRef>
              <c:f>'Scarico idrico'!$F$4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'Scarico idrico'!$A$4</c:f>
              <c:strCache>
                <c:ptCount val="1"/>
                <c:pt idx="0">
                  <c:v>[m3]</c:v>
                </c:pt>
              </c:strCache>
            </c:strRef>
          </c:cat>
          <c:val>
            <c:numRef>
              <c:f>'Scarico idrico'!$F$17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86-413F-882A-799363BA0CDF}"/>
            </c:ext>
          </c:extLst>
        </c:ser>
        <c:ser>
          <c:idx val="5"/>
          <c:order val="5"/>
          <c:tx>
            <c:strRef>
              <c:f>'Scarico idrico'!$G$4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'Scarico idrico'!$A$4</c:f>
              <c:strCache>
                <c:ptCount val="1"/>
                <c:pt idx="0">
                  <c:v>[m3]</c:v>
                </c:pt>
              </c:strCache>
            </c:strRef>
          </c:cat>
          <c:val>
            <c:numRef>
              <c:f>'Scarico idrico'!$G$17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86-413F-882A-799363BA0CDF}"/>
            </c:ext>
          </c:extLst>
        </c:ser>
        <c:ser>
          <c:idx val="6"/>
          <c:order val="6"/>
          <c:tx>
            <c:strRef>
              <c:f>'Scarico idrico'!$H$4</c:f>
              <c:strCache>
                <c:ptCount val="1"/>
                <c:pt idx="0">
                  <c:v>2028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'Scarico idrico'!$A$4</c:f>
              <c:strCache>
                <c:ptCount val="1"/>
                <c:pt idx="0">
                  <c:v>[m3]</c:v>
                </c:pt>
              </c:strCache>
            </c:strRef>
          </c:cat>
          <c:val>
            <c:numRef>
              <c:f>'Scarico idrico'!$H$17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86-413F-882A-799363BA0CDF}"/>
            </c:ext>
          </c:extLst>
        </c:ser>
        <c:ser>
          <c:idx val="7"/>
          <c:order val="7"/>
          <c:tx>
            <c:strRef>
              <c:f>'Scarico idrico'!$I$4</c:f>
              <c:strCache>
                <c:ptCount val="1"/>
                <c:pt idx="0">
                  <c:v>2029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'Scarico idrico'!$A$4</c:f>
              <c:strCache>
                <c:ptCount val="1"/>
                <c:pt idx="0">
                  <c:v>[m3]</c:v>
                </c:pt>
              </c:strCache>
            </c:strRef>
          </c:cat>
          <c:val>
            <c:numRef>
              <c:f>'Scarico idrico'!$I$17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786-413F-882A-799363BA0CDF}"/>
            </c:ext>
          </c:extLst>
        </c:ser>
        <c:ser>
          <c:idx val="8"/>
          <c:order val="8"/>
          <c:tx>
            <c:strRef>
              <c:f>'Scarico idrico'!$J$4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'Scarico idrico'!$A$4</c:f>
              <c:strCache>
                <c:ptCount val="1"/>
                <c:pt idx="0">
                  <c:v>[m3]</c:v>
                </c:pt>
              </c:strCache>
            </c:strRef>
          </c:cat>
          <c:val>
            <c:numRef>
              <c:f>'Scarico idrico'!$J$17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B-497E-A064-109174103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2899935"/>
        <c:axId val="2022902847"/>
      </c:barChart>
      <c:catAx>
        <c:axId val="202289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2902847"/>
        <c:crosses val="autoZero"/>
        <c:auto val="1"/>
        <c:lblAlgn val="ctr"/>
        <c:lblOffset val="100"/>
        <c:noMultiLvlLbl val="0"/>
      </c:catAx>
      <c:valAx>
        <c:axId val="202290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289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PRELIEVO IDRICO RELATIVO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F7F-403C-B552-2506B5A1DE6A}"/>
            </c:ext>
          </c:extLst>
        </c:ser>
        <c:ser>
          <c:idx val="3"/>
          <c:order val="1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7F-403C-B552-2506B5A1DE6A}"/>
            </c:ext>
          </c:extLst>
        </c:ser>
        <c:ser>
          <c:idx val="4"/>
          <c:order val="2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F7F-403C-B552-2506B5A1D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8864"/>
        <c:axId val="46630784"/>
      </c:lineChart>
      <c:catAx>
        <c:axId val="466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663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30784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6628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'Approvvigionamento idrico'!$A$4</c:f>
              <c:strCache>
                <c:ptCount val="1"/>
                <c:pt idx="0">
                  <c:v>Pozzi</c:v>
                </c:pt>
              </c:strCache>
            </c:strRef>
          </c:tx>
          <c:invertIfNegative val="0"/>
          <c:cat>
            <c:strRef>
              <c:f>'Approvvigionamento idrico'!$C$3:$K$3</c:f>
              <c:strCach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'Approvvigionamento idrico'!$C$4:$K$4</c:f>
              <c:numCache>
                <c:formatCode>#,##0</c:formatCode>
                <c:ptCount val="9"/>
                <c:pt idx="0">
                  <c:v>122140</c:v>
                </c:pt>
                <c:pt idx="1">
                  <c:v>120130</c:v>
                </c:pt>
                <c:pt idx="2">
                  <c:v>130950</c:v>
                </c:pt>
                <c:pt idx="3">
                  <c:v>112513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8-4D0B-B1B0-2661E1D5C909}"/>
            </c:ext>
          </c:extLst>
        </c:ser>
        <c:ser>
          <c:idx val="1"/>
          <c:order val="1"/>
          <c:tx>
            <c:strRef>
              <c:f>'Approvvigionamento idrico'!$A$5</c:f>
              <c:strCache>
                <c:ptCount val="1"/>
                <c:pt idx="0">
                  <c:v>Rio Punteggia</c:v>
                </c:pt>
              </c:strCache>
            </c:strRef>
          </c:tx>
          <c:invertIfNegative val="0"/>
          <c:cat>
            <c:strRef>
              <c:f>'Approvvigionamento idrico'!$C$3:$K$3</c:f>
              <c:strCach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'Approvvigionamento idrico'!$C$5:$K$5</c:f>
              <c:numCache>
                <c:formatCode>#,##0</c:formatCode>
                <c:ptCount val="9"/>
                <c:pt idx="0">
                  <c:v>38343</c:v>
                </c:pt>
                <c:pt idx="1">
                  <c:v>37771</c:v>
                </c:pt>
                <c:pt idx="2">
                  <c:v>26394</c:v>
                </c:pt>
                <c:pt idx="3">
                  <c:v>53025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8-4D0B-B1B0-2661E1D5C909}"/>
            </c:ext>
          </c:extLst>
        </c:ser>
        <c:ser>
          <c:idx val="2"/>
          <c:order val="2"/>
          <c:tx>
            <c:strRef>
              <c:f>'Approvvigionamento idrico'!$A$7</c:f>
              <c:strCache>
                <c:ptCount val="1"/>
                <c:pt idx="0">
                  <c:v>Acquedotto</c:v>
                </c:pt>
              </c:strCache>
            </c:strRef>
          </c:tx>
          <c:invertIfNegative val="0"/>
          <c:cat>
            <c:strRef>
              <c:f>'Approvvigionamento idrico'!$C$3:$K$3</c:f>
              <c:strCach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'Approvvigionamento idrico'!$C$7:$K$7</c:f>
              <c:numCache>
                <c:formatCode>#,##0</c:formatCode>
                <c:ptCount val="9"/>
                <c:pt idx="0">
                  <c:v>1490</c:v>
                </c:pt>
                <c:pt idx="1">
                  <c:v>310</c:v>
                </c:pt>
                <c:pt idx="2">
                  <c:v>90</c:v>
                </c:pt>
                <c:pt idx="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8-4D0B-B1B0-2661E1D5C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375488"/>
        <c:axId val="47377024"/>
        <c:axId val="0"/>
      </c:bar3DChart>
      <c:catAx>
        <c:axId val="473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7377024"/>
        <c:crosses val="autoZero"/>
        <c:auto val="1"/>
        <c:lblAlgn val="ctr"/>
        <c:lblOffset val="100"/>
        <c:noMultiLvlLbl val="0"/>
      </c:catAx>
      <c:valAx>
        <c:axId val="47377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7375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898582677165351"/>
          <c:y val="0"/>
          <c:w val="8.3567273960461777E-2"/>
          <c:h val="0.18512380229579736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Ripartizione energia</a:t>
            </a:r>
            <a:r>
              <a:rPr lang="it-IT" baseline="0"/>
              <a:t> elettrica</a:t>
            </a:r>
            <a:endParaRPr lang="it-IT"/>
          </a:p>
        </c:rich>
      </c:tx>
      <c:layout>
        <c:manualLayout>
          <c:xMode val="edge"/>
          <c:yMode val="edge"/>
          <c:x val="0.2697499999999999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'Energia Elettrica'!#REF!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'Energia Elettrica'!#REF!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'Energia Elettrica'!#REF!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AC1-45EB-AE5E-C76102C38CE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'Energia Elettrica'!#REF!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'Energia Elettrica'!#REF!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'Energia Elettrica'!#REF!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AC1-45EB-AE5E-C76102C38CEC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'Energia Elettrica'!#REF!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'Energia Elettrica'!#REF!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'Energia Elettrica'!#REF!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AC1-45EB-AE5E-C76102C38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5898959"/>
        <c:axId val="86590187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'Energia Elettrica'!#REF!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'Energia Elettrica'!#REF!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'Energia Elettrica'!#REF!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3-BAC1-45EB-AE5E-C76102C38CEC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Elettrica'!#REF!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'Energia Elettrica'!#REF!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'Energia Elettrica'!#REF!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4-BAC1-45EB-AE5E-C76102C38CEC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Elettrica'!#REF!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'Energia Elettrica'!#REF!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'Energia Elettrica'!#REF!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BAC1-45EB-AE5E-C76102C38CEC}"/>
                  </c:ext>
                </c:extLst>
              </c15:ser>
            </c15:filteredBarSeries>
          </c:ext>
        </c:extLst>
      </c:barChart>
      <c:catAx>
        <c:axId val="86589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65901871"/>
        <c:crosses val="autoZero"/>
        <c:auto val="1"/>
        <c:lblAlgn val="ctr"/>
        <c:lblOffset val="100"/>
        <c:noMultiLvlLbl val="0"/>
      </c:catAx>
      <c:valAx>
        <c:axId val="86590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65898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En.</a:t>
            </a:r>
            <a:r>
              <a:rPr lang="it-IT" baseline="0"/>
              <a:t> Elettrica Acquistata [kWh] - Mensile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'Energia Elettrica'!$C$4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'Energia Elettrica'!$B$5:$B$16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Elettrica'!$C$5:$C$16</c:f>
              <c:numCache>
                <c:formatCode>#,##0</c:formatCode>
                <c:ptCount val="12"/>
                <c:pt idx="0">
                  <c:v>157058</c:v>
                </c:pt>
                <c:pt idx="1">
                  <c:v>145657</c:v>
                </c:pt>
                <c:pt idx="2">
                  <c:v>170297</c:v>
                </c:pt>
                <c:pt idx="3">
                  <c:v>146283</c:v>
                </c:pt>
                <c:pt idx="4">
                  <c:v>165039</c:v>
                </c:pt>
                <c:pt idx="5">
                  <c:v>186771</c:v>
                </c:pt>
                <c:pt idx="6">
                  <c:v>157747</c:v>
                </c:pt>
                <c:pt idx="7">
                  <c:v>51126</c:v>
                </c:pt>
                <c:pt idx="8">
                  <c:v>236569</c:v>
                </c:pt>
                <c:pt idx="9">
                  <c:v>175378</c:v>
                </c:pt>
                <c:pt idx="10">
                  <c:v>177589</c:v>
                </c:pt>
                <c:pt idx="11">
                  <c:v>144405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C-4DEF-9E49-768AFA1C7F1F}"/>
            </c:ext>
          </c:extLst>
        </c:ser>
        <c:ser>
          <c:idx val="1"/>
          <c:order val="1"/>
          <c:tx>
            <c:strRef>
              <c:f>'Energia Elettrica'!$D$4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'Energia Elettrica'!$B$5:$B$16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Elettrica'!$D$5:$D$16</c:f>
              <c:numCache>
                <c:formatCode>_-* #,##0_-;\-* #,##0_-;_-* "-"??_-;_-@_-</c:formatCode>
                <c:ptCount val="12"/>
                <c:pt idx="0">
                  <c:v>182953</c:v>
                </c:pt>
                <c:pt idx="1">
                  <c:v>195696</c:v>
                </c:pt>
                <c:pt idx="2">
                  <c:v>217000</c:v>
                </c:pt>
                <c:pt idx="3">
                  <c:v>137586</c:v>
                </c:pt>
                <c:pt idx="4">
                  <c:v>174801</c:v>
                </c:pt>
                <c:pt idx="5">
                  <c:v>179943</c:v>
                </c:pt>
                <c:pt idx="6">
                  <c:v>136562</c:v>
                </c:pt>
                <c:pt idx="7">
                  <c:v>52282</c:v>
                </c:pt>
                <c:pt idx="8">
                  <c:v>206446</c:v>
                </c:pt>
                <c:pt idx="9">
                  <c:v>151561</c:v>
                </c:pt>
                <c:pt idx="10">
                  <c:v>146475</c:v>
                </c:pt>
                <c:pt idx="11">
                  <c:v>151357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C-4DEF-9E49-768AFA1C7F1F}"/>
            </c:ext>
          </c:extLst>
        </c:ser>
        <c:ser>
          <c:idx val="2"/>
          <c:order val="2"/>
          <c:tx>
            <c:strRef>
              <c:f>'Energia Elettrica'!$E$4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'Energia Elettrica'!$B$5:$B$16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Elettrica'!$E$5:$E$16</c:f>
              <c:numCache>
                <c:formatCode>_-* #,##0_-;\-* #,##0_-;_-* "-"??_-;_-@_-</c:formatCode>
                <c:ptCount val="12"/>
                <c:pt idx="0">
                  <c:v>178624</c:v>
                </c:pt>
                <c:pt idx="1">
                  <c:v>174628</c:v>
                </c:pt>
                <c:pt idx="2">
                  <c:v>157458</c:v>
                </c:pt>
                <c:pt idx="3">
                  <c:v>133214</c:v>
                </c:pt>
                <c:pt idx="4">
                  <c:v>138597</c:v>
                </c:pt>
                <c:pt idx="5">
                  <c:v>163404</c:v>
                </c:pt>
                <c:pt idx="6">
                  <c:v>165092</c:v>
                </c:pt>
                <c:pt idx="7">
                  <c:v>51223</c:v>
                </c:pt>
                <c:pt idx="8">
                  <c:v>199172</c:v>
                </c:pt>
                <c:pt idx="9">
                  <c:v>227792</c:v>
                </c:pt>
                <c:pt idx="10">
                  <c:v>178659</c:v>
                </c:pt>
                <c:pt idx="11">
                  <c:v>136711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C-4DEF-9E49-768AFA1C7F1F}"/>
            </c:ext>
          </c:extLst>
        </c:ser>
        <c:ser>
          <c:idx val="3"/>
          <c:order val="3"/>
          <c:tx>
            <c:strRef>
              <c:f>'Energia Elettrica'!$F$4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'Energia Elettrica'!$B$5:$B$16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Elettrica'!$F$5:$F$16</c:f>
              <c:numCache>
                <c:formatCode>_-* #,##0_-;\-* #,##0_-;_-* "-"??_-;_-@_-</c:formatCode>
                <c:ptCount val="12"/>
                <c:pt idx="0">
                  <c:v>216673</c:v>
                </c:pt>
                <c:pt idx="1">
                  <c:v>181874</c:v>
                </c:pt>
                <c:pt idx="2">
                  <c:v>196435</c:v>
                </c:pt>
                <c:pt idx="3">
                  <c:v>154224</c:v>
                </c:pt>
                <c:pt idx="4">
                  <c:v>151374</c:v>
                </c:pt>
                <c:pt idx="5">
                  <c:v>161155</c:v>
                </c:pt>
                <c:pt idx="6">
                  <c:v>176201</c:v>
                </c:pt>
                <c:pt idx="7">
                  <c:v>60994</c:v>
                </c:pt>
                <c:pt idx="8">
                  <c:v>208402</c:v>
                </c:pt>
                <c:pt idx="9">
                  <c:v>221607</c:v>
                </c:pt>
                <c:pt idx="10">
                  <c:v>197699</c:v>
                </c:pt>
                <c:pt idx="11">
                  <c:v>137683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C-4DEF-9E49-768AFA1C7F1F}"/>
            </c:ext>
          </c:extLst>
        </c:ser>
        <c:ser>
          <c:idx val="4"/>
          <c:order val="4"/>
          <c:tx>
            <c:strRef>
              <c:f>'Energia Elettrica'!$G$4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'Energia Elettrica'!$B$5:$B$16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Elettrica'!$G$5:$G$16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0C-4DEF-9E49-768AFA1C7F1F}"/>
            </c:ext>
          </c:extLst>
        </c:ser>
        <c:ser>
          <c:idx val="5"/>
          <c:order val="5"/>
          <c:tx>
            <c:strRef>
              <c:f>'Energia Elettrica'!$H$4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'Energia Elettrica'!$B$5:$B$16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Elettrica'!$H$5:$H$16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0C-4DEF-9E49-768AFA1C7F1F}"/>
            </c:ext>
          </c:extLst>
        </c:ser>
        <c:ser>
          <c:idx val="6"/>
          <c:order val="6"/>
          <c:tx>
            <c:strRef>
              <c:f>'Energia Elettrica'!$I$4</c:f>
              <c:strCache>
                <c:ptCount val="1"/>
                <c:pt idx="0">
                  <c:v>2028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'Energia Elettrica'!$B$5:$B$16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Elettrica'!$I$5:$I$16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0C-4DEF-9E49-768AFA1C7F1F}"/>
            </c:ext>
          </c:extLst>
        </c:ser>
        <c:ser>
          <c:idx val="7"/>
          <c:order val="7"/>
          <c:tx>
            <c:strRef>
              <c:f>'Energia Elettrica'!$J$4</c:f>
              <c:strCache>
                <c:ptCount val="1"/>
                <c:pt idx="0">
                  <c:v>2029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'Energia Elettrica'!$B$5:$B$16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Elettrica'!$J$5:$J$16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0C-4DEF-9E49-768AFA1C7F1F}"/>
            </c:ext>
          </c:extLst>
        </c:ser>
        <c:ser>
          <c:idx val="8"/>
          <c:order val="8"/>
          <c:tx>
            <c:strRef>
              <c:f>'Energia Elettrica'!$K$4</c:f>
              <c:strCache>
                <c:ptCount val="1"/>
                <c:pt idx="0">
                  <c:v>2030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'Energia Elettrica'!$B$5:$B$16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Elettrica'!$K$5:$K$16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0C-4DEF-9E49-768AFA1C7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58832"/>
        <c:axId val="44562672"/>
      </c:lineChart>
      <c:catAx>
        <c:axId val="4455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562672"/>
        <c:crosses val="autoZero"/>
        <c:auto val="1"/>
        <c:lblAlgn val="ctr"/>
        <c:lblOffset val="100"/>
        <c:noMultiLvlLbl val="0"/>
      </c:catAx>
      <c:valAx>
        <c:axId val="4456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55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En. Elettrica Acquistata [kWh] - Annua</a:t>
            </a:r>
            <a:endParaRPr lang="it-IT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'Energia Elettrica'!$C$4:$K$4</c:f>
              <c:strCach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'Energia Elettrica'!$C$17:$K$17</c:f>
              <c:numCache>
                <c:formatCode>_-* #,##0_-;\-* #,##0_-;_-* "-"??_-;_-@_-</c:formatCode>
                <c:ptCount val="9"/>
                <c:pt idx="0" formatCode="#,##0">
                  <c:v>1913919</c:v>
                </c:pt>
                <c:pt idx="1">
                  <c:v>1932662</c:v>
                </c:pt>
                <c:pt idx="2">
                  <c:v>1904574</c:v>
                </c:pt>
                <c:pt idx="3">
                  <c:v>2064321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6-4B2F-B9AE-44F8B26D7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0191984"/>
        <c:axId val="1210192464"/>
      </c:barChart>
      <c:catAx>
        <c:axId val="121019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10192464"/>
        <c:crosses val="autoZero"/>
        <c:auto val="1"/>
        <c:lblAlgn val="ctr"/>
        <c:lblOffset val="100"/>
        <c:noMultiLvlLbl val="0"/>
      </c:catAx>
      <c:valAx>
        <c:axId val="121019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1019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Consumo Metano [Stm</a:t>
            </a:r>
            <a:r>
              <a:rPr lang="it-IT" sz="1400" b="0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3</a:t>
            </a: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] - Mensile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'Energia Termica'!$C$4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Termica'!$C$5:$C$16</c:f>
              <c:numCache>
                <c:formatCode>#,##0</c:formatCode>
                <c:ptCount val="12"/>
                <c:pt idx="0">
                  <c:v>64635</c:v>
                </c:pt>
                <c:pt idx="1">
                  <c:v>64195</c:v>
                </c:pt>
                <c:pt idx="2">
                  <c:v>76953</c:v>
                </c:pt>
                <c:pt idx="3">
                  <c:v>67022</c:v>
                </c:pt>
                <c:pt idx="4">
                  <c:v>72107</c:v>
                </c:pt>
                <c:pt idx="5">
                  <c:v>72575</c:v>
                </c:pt>
                <c:pt idx="6">
                  <c:v>56705</c:v>
                </c:pt>
                <c:pt idx="7">
                  <c:v>14871</c:v>
                </c:pt>
                <c:pt idx="8">
                  <c:v>97518</c:v>
                </c:pt>
                <c:pt idx="9">
                  <c:v>78929</c:v>
                </c:pt>
                <c:pt idx="10">
                  <c:v>82182</c:v>
                </c:pt>
                <c:pt idx="11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7-46A4-8708-8ED5A6E6204D}"/>
            </c:ext>
          </c:extLst>
        </c:ser>
        <c:ser>
          <c:idx val="1"/>
          <c:order val="1"/>
          <c:tx>
            <c:strRef>
              <c:f>'Energia Termica'!$D$4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Termica'!$D$5:$D$16</c:f>
              <c:numCache>
                <c:formatCode>#,##0</c:formatCode>
                <c:ptCount val="12"/>
                <c:pt idx="0">
                  <c:v>77318</c:v>
                </c:pt>
                <c:pt idx="1">
                  <c:v>83772</c:v>
                </c:pt>
                <c:pt idx="2">
                  <c:v>85988</c:v>
                </c:pt>
                <c:pt idx="3">
                  <c:v>55287</c:v>
                </c:pt>
                <c:pt idx="4">
                  <c:v>70798</c:v>
                </c:pt>
                <c:pt idx="5">
                  <c:v>69037</c:v>
                </c:pt>
                <c:pt idx="6">
                  <c:v>46577</c:v>
                </c:pt>
                <c:pt idx="7">
                  <c:v>15702</c:v>
                </c:pt>
                <c:pt idx="8">
                  <c:v>80432</c:v>
                </c:pt>
                <c:pt idx="9">
                  <c:v>76343</c:v>
                </c:pt>
                <c:pt idx="10">
                  <c:v>91127</c:v>
                </c:pt>
                <c:pt idx="11">
                  <c:v>37101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7-46A4-8708-8ED5A6E6204D}"/>
            </c:ext>
          </c:extLst>
        </c:ser>
        <c:ser>
          <c:idx val="2"/>
          <c:order val="2"/>
          <c:tx>
            <c:strRef>
              <c:f>'Energia Termica'!$E$4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Termica'!$E$5:$E$16</c:f>
              <c:numCache>
                <c:formatCode>#,##0</c:formatCode>
                <c:ptCount val="12"/>
                <c:pt idx="0">
                  <c:v>79585</c:v>
                </c:pt>
                <c:pt idx="1">
                  <c:v>64380</c:v>
                </c:pt>
                <c:pt idx="2">
                  <c:v>65632</c:v>
                </c:pt>
                <c:pt idx="3">
                  <c:v>60632</c:v>
                </c:pt>
                <c:pt idx="4">
                  <c:v>57694</c:v>
                </c:pt>
                <c:pt idx="5">
                  <c:v>67038</c:v>
                </c:pt>
                <c:pt idx="6">
                  <c:v>58849</c:v>
                </c:pt>
                <c:pt idx="7">
                  <c:v>13046</c:v>
                </c:pt>
                <c:pt idx="8">
                  <c:v>80224</c:v>
                </c:pt>
                <c:pt idx="9">
                  <c:v>95928</c:v>
                </c:pt>
                <c:pt idx="10">
                  <c:v>78220</c:v>
                </c:pt>
                <c:pt idx="11">
                  <c:v>60072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57-46A4-8708-8ED5A6E6204D}"/>
            </c:ext>
          </c:extLst>
        </c:ser>
        <c:ser>
          <c:idx val="3"/>
          <c:order val="3"/>
          <c:tx>
            <c:strRef>
              <c:f>'Energia Termica'!$F$4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Termica'!$F$5:$F$16</c:f>
              <c:numCache>
                <c:formatCode>_-* #,##0_-;\-* #,##0_-;_-* "-"??_-;_-@_-</c:formatCode>
                <c:ptCount val="12"/>
                <c:pt idx="0">
                  <c:v>92793</c:v>
                </c:pt>
                <c:pt idx="1">
                  <c:v>76371</c:v>
                </c:pt>
                <c:pt idx="2">
                  <c:v>85453</c:v>
                </c:pt>
                <c:pt idx="3">
                  <c:v>58775</c:v>
                </c:pt>
                <c:pt idx="4">
                  <c:v>58074</c:v>
                </c:pt>
                <c:pt idx="5">
                  <c:v>59341</c:v>
                </c:pt>
                <c:pt idx="6">
                  <c:v>56141</c:v>
                </c:pt>
                <c:pt idx="7">
                  <c:v>16032</c:v>
                </c:pt>
                <c:pt idx="8">
                  <c:v>73247</c:v>
                </c:pt>
                <c:pt idx="9">
                  <c:v>83334</c:v>
                </c:pt>
                <c:pt idx="10">
                  <c:v>77053</c:v>
                </c:pt>
                <c:pt idx="11">
                  <c:v>52131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57-46A4-8708-8ED5A6E6204D}"/>
            </c:ext>
          </c:extLst>
        </c:ser>
        <c:ser>
          <c:idx val="4"/>
          <c:order val="4"/>
          <c:tx>
            <c:strRef>
              <c:f>'Energia Termica'!$G$4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Termica'!$G$5:$G$16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57-46A4-8708-8ED5A6E6204D}"/>
            </c:ext>
          </c:extLst>
        </c:ser>
        <c:ser>
          <c:idx val="5"/>
          <c:order val="5"/>
          <c:tx>
            <c:strRef>
              <c:f>'Energia Termica'!$H$4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'Energia Termica'!$B$5:$B$16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'Energia Termica'!$H$5:$H$16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57-46A4-8708-8ED5A6E62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72544"/>
        <c:axId val="48073024"/>
      </c:lineChart>
      <c:catAx>
        <c:axId val="4807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73024"/>
        <c:crosses val="autoZero"/>
        <c:auto val="1"/>
        <c:lblAlgn val="ctr"/>
        <c:lblOffset val="100"/>
        <c:noMultiLvlLbl val="0"/>
      </c:catAx>
      <c:valAx>
        <c:axId val="4807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07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11</xdr:row>
      <xdr:rowOff>9525</xdr:rowOff>
    </xdr:from>
    <xdr:to>
      <xdr:col>4</xdr:col>
      <xdr:colOff>581025</xdr:colOff>
      <xdr:row>28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329ED82-0E2B-C013-48B1-94B77C60F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319086</xdr:colOff>
      <xdr:row>18</xdr:row>
      <xdr:rowOff>19050</xdr:rowOff>
    </xdr:from>
    <xdr:to>
      <xdr:col>8</xdr:col>
      <xdr:colOff>257175</xdr:colOff>
      <xdr:row>32</xdr:row>
      <xdr:rowOff>38100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C4BF1F4-53B4-255B-BAD0-C9FC046A6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585787</xdr:colOff>
      <xdr:row>17</xdr:row>
      <xdr:rowOff>152400</xdr:rowOff>
    </xdr:from>
    <xdr:to>
      <xdr:col>16</xdr:col>
      <xdr:colOff>280987</xdr:colOff>
      <xdr:row>32</xdr:row>
      <xdr:rowOff>114300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C38F7538-68FE-5974-24FE-14497DCEA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0</xdr:rowOff>
    </xdr:from>
    <xdr:to>
      <xdr:col>13</xdr:col>
      <xdr:colOff>323850</xdr:colOff>
      <xdr:row>0</xdr:row>
      <xdr:rowOff>0</xdr:rowOff>
    </xdr:to>
    <xdr:graphicFrame macro="">
      <xdr:nvGraphicFramePr>
        <xdr:cNvPr id="21279746" name="Chart 2">
          <a:extLst>
            <a:ext uri="{FF2B5EF4-FFF2-40B4-BE49-F238E27FC236}">
              <a16:creationId xmlns:a16="http://schemas.microsoft.com/office/drawing/2014/main" id="{00000000-0008-0000-0300-000002B44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28575</xdr:rowOff>
    </xdr:from>
    <xdr:to>
      <xdr:col>12</xdr:col>
      <xdr:colOff>133350</xdr:colOff>
      <xdr:row>64</xdr:row>
      <xdr:rowOff>114300</xdr:rowOff>
    </xdr:to>
    <xdr:graphicFrame macro="">
      <xdr:nvGraphicFramePr>
        <xdr:cNvPr id="21279755" name="Grafico 23">
          <a:extLst>
            <a:ext uri="{FF2B5EF4-FFF2-40B4-BE49-F238E27FC236}">
              <a16:creationId xmlns:a16="http://schemas.microsoft.com/office/drawing/2014/main" id="{00000000-0008-0000-0300-00000BB44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</xdr:colOff>
      <xdr:row>16</xdr:row>
      <xdr:rowOff>0</xdr:rowOff>
    </xdr:from>
    <xdr:to>
      <xdr:col>15</xdr:col>
      <xdr:colOff>338137</xdr:colOff>
      <xdr:row>16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FA852D9-53A5-4AB8-83BB-5A644297E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619124</xdr:colOff>
      <xdr:row>18</xdr:row>
      <xdr:rowOff>57150</xdr:rowOff>
    </xdr:from>
    <xdr:to>
      <xdr:col>6</xdr:col>
      <xdr:colOff>809624</xdr:colOff>
      <xdr:row>34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EED5CBE-94E3-F154-F840-A0A923497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190499</xdr:colOff>
      <xdr:row>18</xdr:row>
      <xdr:rowOff>57151</xdr:rowOff>
    </xdr:from>
    <xdr:to>
      <xdr:col>13</xdr:col>
      <xdr:colOff>209550</xdr:colOff>
      <xdr:row>34</xdr:row>
      <xdr:rowOff>38101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E022580-0E82-3A66-BB75-E486837EE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714374</xdr:colOff>
      <xdr:row>2</xdr:row>
      <xdr:rowOff>76200</xdr:rowOff>
    </xdr:from>
    <xdr:to>
      <xdr:col>14</xdr:col>
      <xdr:colOff>590549</xdr:colOff>
      <xdr:row>17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368922B-E091-1AB3-E12C-FAE402BB4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857249</xdr:colOff>
      <xdr:row>1</xdr:row>
      <xdr:rowOff>123825</xdr:rowOff>
    </xdr:from>
    <xdr:to>
      <xdr:col>23</xdr:col>
      <xdr:colOff>200024</xdr:colOff>
      <xdr:row>17</xdr:row>
      <xdr:rowOff>28575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38400BF-00A0-E960-D7D4-484CEFCF2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676274</xdr:colOff>
      <xdr:row>23</xdr:row>
      <xdr:rowOff>133350</xdr:rowOff>
    </xdr:from>
    <xdr:to>
      <xdr:col>14</xdr:col>
      <xdr:colOff>761999</xdr:colOff>
      <xdr:row>40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E54EEC3-58D9-595C-E9A0-80CB6F8EA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142875</xdr:colOff>
      <xdr:row>23</xdr:row>
      <xdr:rowOff>104775</xdr:rowOff>
    </xdr:from>
    <xdr:to>
      <xdr:col>22</xdr:col>
      <xdr:colOff>447675</xdr:colOff>
      <xdr:row>40</xdr:row>
      <xdr:rowOff>66675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B734C83-F22D-AEA7-8922-C5FCFDC0A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561974</xdr:colOff>
      <xdr:row>41</xdr:row>
      <xdr:rowOff>171450</xdr:rowOff>
    </xdr:from>
    <xdr:to>
      <xdr:col>14</xdr:col>
      <xdr:colOff>876299</xdr:colOff>
      <xdr:row>57</xdr:row>
      <xdr:rowOff>66675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9328269-4560-7AED-73CE-3818C6F39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123825</xdr:colOff>
      <xdr:row>41</xdr:row>
      <xdr:rowOff>171450</xdr:rowOff>
    </xdr:from>
    <xdr:to>
      <xdr:col>23</xdr:col>
      <xdr:colOff>523875</xdr:colOff>
      <xdr:row>57</xdr:row>
      <xdr:rowOff>123825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6E11923-62FF-B18C-DF29-7FD4F51DE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36</xdr:row>
      <xdr:rowOff>161925</xdr:rowOff>
    </xdr:from>
    <xdr:to>
      <xdr:col>5</xdr:col>
      <xdr:colOff>723899</xdr:colOff>
      <xdr:row>57</xdr:row>
      <xdr:rowOff>142875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38</xdr:row>
      <xdr:rowOff>19050</xdr:rowOff>
    </xdr:from>
    <xdr:to>
      <xdr:col>12</xdr:col>
      <xdr:colOff>171451</xdr:colOff>
      <xdr:row>54</xdr:row>
      <xdr:rowOff>85726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557212</xdr:colOff>
      <xdr:row>22</xdr:row>
      <xdr:rowOff>85725</xdr:rowOff>
    </xdr:from>
    <xdr:to>
      <xdr:col>19</xdr:col>
      <xdr:colOff>100012</xdr:colOff>
      <xdr:row>39</xdr:row>
      <xdr:rowOff>66675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RAB\ID2\F3B066CF-D170-40CA-A03A-CF3270F73F74\0\759000-759999\759376\L\L\PMC%20(ID%20759376)\MOD_B03_R1%20-%20PMC.xlsx" TargetMode="External"/><Relationship Id="rId1" Type="http://schemas.openxmlformats.org/officeDocument/2006/relationships/externalLinkPath" Target="file:///M:\CRAB\ID2\F3B066CF-D170-40CA-A03A-CF3270F73F74\0\759000-759999\759376\L\L\PMC%20(ID%20759376)\MOD_B03_R1%20-%20PM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otto purgato"/>
      <sheetName val="Prodotto Lavorato"/>
      <sheetName val="Prodotti chimici"/>
      <sheetName val="Energia Elettrica"/>
      <sheetName val="Energia Termica"/>
      <sheetName val="Analisi Emissioni"/>
      <sheetName val="Consumi Idrici"/>
      <sheetName val="Acqua Recuperata"/>
      <sheetName val="Scarichi Idrici"/>
      <sheetName val="Analisi Scarichi"/>
      <sheetName val="Rifiuti"/>
      <sheetName val="Serbatoi"/>
      <sheetName val="Emissioni di CO2"/>
      <sheetName val="Personale"/>
      <sheetName val="Dati generali"/>
      <sheetName val="Indici"/>
      <sheetName val="MOD_B03_R1 - PMC"/>
      <sheetName val="Altre lavorazio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3:J10" totalsRowShown="0" headerRowDxfId="239" dataDxfId="238">
  <autoFilter ref="A3:J10" xr:uid="{00000000-0009-0000-0100-000001000000}"/>
  <tableColumns count="10">
    <tableColumn id="1" xr3:uid="{00000000-0010-0000-0000-000001000000}" name="Prodotto" dataDxfId="237" totalsRowDxfId="236"/>
    <tableColumn id="2" xr3:uid="{00000000-0010-0000-0000-000002000000}" name="2022" dataDxfId="235" totalsRowDxfId="234"/>
    <tableColumn id="7" xr3:uid="{00000000-0010-0000-0000-000007000000}" name="2023" dataDxfId="233" totalsRowDxfId="232"/>
    <tableColumn id="3" xr3:uid="{34B7F4C9-E69C-425A-A32F-E3B02A9B2610}" name="2024" dataDxfId="231" totalsRowDxfId="230"/>
    <tableColumn id="4" xr3:uid="{323FD74A-C074-42CE-B4F5-1F8E1ADA7024}" name="2025" dataDxfId="229" totalsRowDxfId="228"/>
    <tableColumn id="5" xr3:uid="{DAB2F722-BBE2-40E4-9CB1-ADB84BEEEB5D}" name="2026" dataDxfId="227" totalsRowDxfId="226"/>
    <tableColumn id="6" xr3:uid="{D07743A4-4EE9-4A1E-9935-0159547A512A}" name="2027" dataDxfId="225" totalsRowDxfId="224"/>
    <tableColumn id="8" xr3:uid="{EB6235E9-E563-4D51-9F19-8A89CB9563AB}" name="2028" dataDxfId="223" totalsRowDxfId="222"/>
    <tableColumn id="9" xr3:uid="{7E341091-D7DC-4F2B-9FC7-B789AC6C1804}" name="2029" dataDxfId="221" totalsRowDxfId="220"/>
    <tableColumn id="10" xr3:uid="{1AA92AC6-CD30-45A9-B7CB-060F268D6543}" name="2030" dataDxfId="219" totalsRowDxfId="218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BCF0D63-D4EE-471B-B6F1-BC3B1C304B41}" name="Tab_Metano3031" displayName="Tab_Metano3031" ref="B43:H56" totalsRowCount="1" headerRowDxfId="71" dataDxfId="70" totalsRowDxfId="69" headerRowCellStyle="Normale 2 2" dataCellStyle="Normale 2 2" totalsRowCellStyle="Normale 2 2">
  <autoFilter ref="B43:H55" xr:uid="{ABCF0D63-D4EE-471B-B6F1-BC3B1C304B41}"/>
  <tableColumns count="7">
    <tableColumn id="1" xr3:uid="{DDDB33FF-21DF-4416-B635-CF8683EBE210}" name=" [kWh]" totalsRowLabel="Totale" dataDxfId="68" totalsRowDxfId="67" dataCellStyle="Normale 2 2"/>
    <tableColumn id="6" xr3:uid="{89868890-1D94-4F60-9979-D7215A73876B}" name="2022" totalsRowFunction="sum" dataDxfId="66" totalsRowDxfId="65" dataCellStyle="Normale 2 2">
      <calculatedColumnFormula>C27*277.78</calculatedColumnFormula>
    </tableColumn>
    <tableColumn id="7" xr3:uid="{8F26DC88-B5AE-483D-B155-647B61AF65F9}" name="2023" totalsRowFunction="sum" dataDxfId="64" totalsRowDxfId="63" dataCellStyle="Normale 2 2">
      <calculatedColumnFormula>D27*277.78</calculatedColumnFormula>
    </tableColumn>
    <tableColumn id="8" xr3:uid="{10380C79-B3D9-4F4A-BF98-DF25A170E641}" name="2024" totalsRowFunction="sum" dataDxfId="62" totalsRowDxfId="61" dataCellStyle="Normale 2 2">
      <calculatedColumnFormula>E27*277.78</calculatedColumnFormula>
    </tableColumn>
    <tableColumn id="9" xr3:uid="{E50221A9-1BAC-439B-B495-B516D9537EBF}" name="2025" totalsRowFunction="sum" dataDxfId="60" totalsRowDxfId="59" dataCellStyle="Normale 2 2">
      <calculatedColumnFormula>F27*277.78</calculatedColumnFormula>
    </tableColumn>
    <tableColumn id="10" xr3:uid="{1020FE5D-AB56-4912-A8C8-65C90EEFF4F3}" name="2026" totalsRowFunction="sum" dataDxfId="58" totalsRowDxfId="57" dataCellStyle="Normale 2 2"/>
    <tableColumn id="11" xr3:uid="{AFA8EE86-E908-4612-98C3-FB6EBA6158F7}" name="2027" totalsRowFunction="sum" dataDxfId="56" totalsRowDxfId="55" dataCellStyle="Normale 2 2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F000000}" name="Tabella15" displayName="Tabella15" ref="A3:N22" totalsRowCount="1" headerRowDxfId="54" dataDxfId="53" totalsRowDxfId="52">
  <autoFilter ref="A3:N21" xr:uid="{00000000-0009-0000-0100-000002000000}"/>
  <tableColumns count="14">
    <tableColumn id="1" xr3:uid="{00000000-0010-0000-0F00-000001000000}" name="Descrizione rifiuto" dataDxfId="51" totalsRowDxfId="50" dataCellStyle="Normale 3"/>
    <tableColumn id="2" xr3:uid="{00000000-0010-0000-0F00-000002000000}" name="Codice CER" dataDxfId="49" totalsRowDxfId="48" dataCellStyle="Normale 3"/>
    <tableColumn id="3" xr3:uid="{00000000-0010-0000-0F00-000003000000}" name="R/D" dataDxfId="47" totalsRowDxfId="46" dataCellStyle="Normale 3"/>
    <tableColumn id="8" xr3:uid="{00000000-0010-0000-0F00-000008000000}" name="Occasionale" dataDxfId="45" totalsRowDxfId="44" dataCellStyle="Normale 3"/>
    <tableColumn id="9" xr3:uid="{00000000-0010-0000-0F00-000009000000}" name="P/NP" dataDxfId="43" totalsRowDxfId="42" dataCellStyle="Normale 3"/>
    <tableColumn id="14" xr3:uid="{4794C342-D300-4A85-8F00-12338DB41AB8}" name="kg prodotti 2022" totalsRowFunction="sum" dataDxfId="41" totalsRowDxfId="40" dataCellStyle="Normale 3"/>
    <tableColumn id="4" xr3:uid="{00000000-0010-0000-0F00-000004000000}" name="kg prodotti 2023" totalsRowFunction="sum" dataDxfId="39" totalsRowDxfId="38" dataCellStyle="Normale 3"/>
    <tableColumn id="6" xr3:uid="{00000000-0010-0000-0F00-000006000000}" name="kg prodotti 2024" totalsRowFunction="sum" dataDxfId="37" totalsRowDxfId="36" dataCellStyle="Normale 3"/>
    <tableColumn id="10" xr3:uid="{00000000-0010-0000-0F00-00000A000000}" name="kg prodotti 2025" totalsRowFunction="sum" dataDxfId="35" totalsRowDxfId="34" dataCellStyle="Normale 3"/>
    <tableColumn id="5" xr3:uid="{00000000-0010-0000-0F00-000005000000}" name="kg prodotti 2026" totalsRowFunction="sum" dataDxfId="33" totalsRowDxfId="32" dataCellStyle="Normale 3"/>
    <tableColumn id="7" xr3:uid="{00000000-0010-0000-0F00-000007000000}" name="kg prodotti 2027" totalsRowFunction="sum" dataDxfId="31" totalsRowDxfId="30" dataCellStyle="Normale 3"/>
    <tableColumn id="11" xr3:uid="{A4B60848-1E3B-496E-970A-42B2FECEC7BC}" name="kg prodotti 2028" totalsRowFunction="sum" dataDxfId="29" totalsRowDxfId="28" dataCellStyle="Normale 3"/>
    <tableColumn id="12" xr3:uid="{1ED82736-2F04-4ECD-9009-D742DFAE3405}" name="kg prodotti 2029" totalsRowFunction="sum" dataDxfId="27" totalsRowDxfId="26" dataCellStyle="Normale 3"/>
    <tableColumn id="13" xr3:uid="{D44E661C-6664-41C9-AE05-7937823A12CB}" name="kg prodotti 2030" totalsRowFunction="sum" dataDxfId="25" totalsRowDxfId="24" dataCellStyle="Normale 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4FB37DD-7FD4-4671-9055-CF37AAF7983B}" name="Tabella39" displayName="Tabella39" ref="A25:G34" totalsRowShown="0" headerRowDxfId="23" dataDxfId="22">
  <autoFilter ref="A25:G34" xr:uid="{B4FB37DD-7FD4-4671-9055-CF37AAF7983B}"/>
  <tableColumns count="7">
    <tableColumn id="1" xr3:uid="{FA2CAB32-BB51-4479-8163-A8EB181D171E}" name="Anno" dataDxfId="21"/>
    <tableColumn id="2" xr3:uid="{5311D8CE-73EA-4D87-AC91-1EB984562231}" name="Totale rifiuti prodotti" dataDxfId="20"/>
    <tableColumn id="3" xr3:uid="{500CCA80-340D-46F5-82DF-EB6059303C88}" name="Totale rifiuti avviati a recupero" dataDxfId="19"/>
    <tableColumn id="4" xr3:uid="{0F4F057B-AF79-454C-AD5C-C7B0FE9B70F9}" name="Totale rifiuti avviati a smaltimento" dataDxfId="18"/>
    <tableColumn id="5" xr3:uid="{2F38D24C-9536-40AE-91FC-6E18E0E41EAC}" name="Frazione recuperata" dataDxfId="17"/>
    <tableColumn id="7" xr3:uid="{FC82205A-3C1C-4764-9FBD-C26A6BA1E06E}" name="Totale rifiuti pericolosi" dataDxfId="16"/>
    <tableColumn id="8" xr3:uid="{8C93904B-F4FF-4E57-978F-A7D14F61C695}" name="Totale rifiuti NON pericolosi" dataDxfId="1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3000000}" name="Tabella317" displayName="Tabella317" ref="B3:L13" totalsRowShown="0" headerRowDxfId="14" dataDxfId="13" tableBorderDxfId="12">
  <autoFilter ref="B3:L13" xr:uid="{00000000-0009-0000-0100-000010000000}"/>
  <tableColumns count="11">
    <tableColumn id="1" xr3:uid="{00000000-0010-0000-1300-000001000000}" name="Colonna" dataDxfId="11"/>
    <tableColumn id="2" xr3:uid="{00000000-0010-0000-1300-000002000000}" name="Anno" dataDxfId="10"/>
    <tableColumn id="12" xr3:uid="{00000000-0010-0000-1300-00000C000000}" name="2022" dataDxfId="9"/>
    <tableColumn id="13" xr3:uid="{00000000-0010-0000-1300-00000D000000}" name="2023" dataDxfId="8">
      <calculatedColumnFormula>'Approvvigionamento idrico'!D5</calculatedColumnFormula>
    </tableColumn>
    <tableColumn id="14" xr3:uid="{00000000-0010-0000-1300-00000E000000}" name="2024" dataDxfId="7"/>
    <tableColumn id="3" xr3:uid="{C8197D85-E301-40A8-8A05-4824472645C5}" name="2025" dataDxfId="6"/>
    <tableColumn id="4" xr3:uid="{CAE32F8D-AB5F-4CFD-BFE3-7BFE9D811E17}" name="2026" dataDxfId="5"/>
    <tableColumn id="5" xr3:uid="{DF14709D-751F-4F4D-9C5A-A27AB1991297}" name="2027" dataDxfId="4"/>
    <tableColumn id="6" xr3:uid="{93937E3C-0C0A-483E-9AFD-77FFB960C436}" name="2028" dataDxfId="3"/>
    <tableColumn id="7" xr3:uid="{6A03C1D8-FB32-4FA1-AE5A-FAE2284F5139}" name="2029" dataDxfId="2"/>
    <tableColumn id="8" xr3:uid="{32EBD873-9919-4154-BC6B-B39CE87D8BC3}" name="2030" dataDxfId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46A613-33E3-4822-8F8C-C6598E31E0CA}" name="Tabella16" displayName="Tabella16" ref="A4:J17" totalsRowCount="1" headerRowDxfId="217" dataDxfId="216" totalsRowDxfId="215">
  <autoFilter ref="A4:J16" xr:uid="{DC46A613-33E3-4822-8F8C-C6598E31E0CA}"/>
  <tableColumns count="10">
    <tableColumn id="1" xr3:uid="{7E5DFC9A-583F-4F89-B545-E2BFAE592CB5}" name="[m3]" totalsRowLabel="Totale" dataDxfId="214" totalsRowDxfId="213"/>
    <tableColumn id="2" xr3:uid="{A015B6A6-2981-419F-B3EB-F2A56FB4AD2D}" name="2022" totalsRowFunction="sum" dataDxfId="212" totalsRowDxfId="211"/>
    <tableColumn id="3" xr3:uid="{7549FC23-A7B0-4D1E-9B50-B27D68460C53}" name="2023" totalsRowFunction="sum" dataDxfId="210" totalsRowDxfId="209"/>
    <tableColumn id="4" xr3:uid="{30F9DE73-CD09-4ADB-A9F1-10002F25151A}" name="2024" totalsRowFunction="sum" dataDxfId="208" totalsRowDxfId="207"/>
    <tableColumn id="5" xr3:uid="{C8854CF8-B9C7-41E9-AFA1-B933BA85F93E}" name="2025" totalsRowFunction="sum" dataDxfId="206" totalsRowDxfId="205"/>
    <tableColumn id="6" xr3:uid="{CF31BDC3-A574-47F7-B7CB-8EBE64C6F959}" name="2026" totalsRowFunction="sum" dataDxfId="204" totalsRowDxfId="203"/>
    <tableColumn id="7" xr3:uid="{477A993F-EEFF-4382-ACB3-B9002B3397BA}" name="2027" totalsRowFunction="sum" dataDxfId="202" totalsRowDxfId="201"/>
    <tableColumn id="8" xr3:uid="{B086354D-8FE5-463D-A4E3-8BCEFCDB1E98}" name="2028" totalsRowFunction="sum" dataDxfId="200" totalsRowDxfId="199"/>
    <tableColumn id="9" xr3:uid="{0E74D56F-5B2D-4592-98F4-6F047C43321C}" name="2029" totalsRowFunction="sum" dataDxfId="198" totalsRowDxfId="197"/>
    <tableColumn id="10" xr3:uid="{1B3F6B93-471C-4556-B89E-7B29CD714AA2}" name="2030" totalsRowFunction="sum" dataDxfId="196" totalsRowDxfId="19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ella7" displayName="Tabella7" ref="A3:K8" totalsRowShown="0" headerRowDxfId="194">
  <autoFilter ref="A3:K8" xr:uid="{00000000-0009-0000-0100-000007000000}"/>
  <tableColumns count="11">
    <tableColumn id="1" xr3:uid="{00000000-0010-0000-0200-000001000000}" name="ANNO" dataDxfId="193"/>
    <tableColumn id="2" xr3:uid="{00000000-0010-0000-0200-000002000000}" name="FASE" dataDxfId="192"/>
    <tableColumn id="3" xr3:uid="{00000000-0010-0000-0200-000003000000}" name="2022" dataDxfId="191">
      <calculatedColumnFormula>SUBTOTAL(109,C2:C3)</calculatedColumnFormula>
    </tableColumn>
    <tableColumn id="4" xr3:uid="{00000000-0010-0000-0200-000004000000}" name="2023" dataDxfId="190"/>
    <tableColumn id="5" xr3:uid="{00000000-0010-0000-0200-000005000000}" name="2024" dataDxfId="189"/>
    <tableColumn id="6" xr3:uid="{00000000-0010-0000-0200-000006000000}" name="2025" dataDxfId="188"/>
    <tableColumn id="7" xr3:uid="{00000000-0010-0000-0200-000007000000}" name="2026" dataDxfId="187"/>
    <tableColumn id="8" xr3:uid="{00000000-0010-0000-0200-000008000000}" name="2027" dataDxfId="186"/>
    <tableColumn id="9" xr3:uid="{00000000-0010-0000-0200-000009000000}" name="2028" dataDxfId="185"/>
    <tableColumn id="10" xr3:uid="{00000000-0010-0000-0200-00000A000000}" name="2029" dataDxfId="184"/>
    <tableColumn id="11" xr3:uid="{6B98FFB0-5161-401A-AC23-8C8A95FF400A}" name="2030" dataDxfId="183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D4DA56C-3CA9-49C6-94F3-FA5A80798C94}" name="Tabella4" displayName="Tabella4" ref="A11:J24" totalsRowCount="1" headerRowDxfId="182" dataDxfId="181">
  <autoFilter ref="A11:J23" xr:uid="{ED4DA56C-3CA9-49C6-94F3-FA5A80798C94}"/>
  <tableColumns count="10">
    <tableColumn id="1" xr3:uid="{EDFBA643-ECF3-453C-B266-58B01BCA3FE3}" name="[m3]" totalsRowLabel="Totale" dataDxfId="180" totalsRowDxfId="179"/>
    <tableColumn id="2" xr3:uid="{4A67F269-A408-479D-8B7D-9487104938BA}" name="2022" totalsRowLabel="122.140" dataDxfId="178" totalsRowDxfId="177"/>
    <tableColumn id="3" xr3:uid="{8D0ED987-2578-4B6E-9998-3D27C61F4580}" name="2023" totalsRowFunction="sum" dataDxfId="176" totalsRowDxfId="175"/>
    <tableColumn id="4" xr3:uid="{8CA72D2C-2D88-4764-A701-02DEAD594D7F}" name="2024" totalsRowFunction="sum" dataDxfId="174" totalsRowDxfId="173"/>
    <tableColumn id="5" xr3:uid="{469E6EC3-3E2D-4810-91E7-290A70FC18E2}" name="2025" totalsRowFunction="sum" dataDxfId="172" totalsRowDxfId="171"/>
    <tableColumn id="6" xr3:uid="{F9AF9A38-2E5C-4FD3-ACF7-CAD0612CF367}" name="2026" totalsRowFunction="sum" dataDxfId="170" totalsRowDxfId="169"/>
    <tableColumn id="7" xr3:uid="{AFB1250C-D0AD-434E-9E3F-CFCDB394B48F}" name="2027" totalsRowFunction="sum" dataDxfId="168" totalsRowDxfId="167"/>
    <tableColumn id="8" xr3:uid="{78F05482-10AC-4887-827D-DBF0CD028A60}" name="2028" totalsRowFunction="sum" dataDxfId="166" totalsRowDxfId="165"/>
    <tableColumn id="9" xr3:uid="{750FAB2C-3C3E-4B2C-8FF7-9353E895513E}" name="2029" totalsRowFunction="sum" dataDxfId="164" totalsRowDxfId="163"/>
    <tableColumn id="10" xr3:uid="{ACDFC679-6EE0-45D4-A4B0-409F97C5906A}" name="2030" totalsRowFunction="sum" dataDxfId="162" totalsRowDxfId="16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B141B3F-8917-4BF2-823A-D87A417C5C28}" name="Tabella5" displayName="Tabella5" ref="A28:J41" totalsRowCount="1" headerRowDxfId="160" dataDxfId="159">
  <autoFilter ref="A28:J40" xr:uid="{4B141B3F-8917-4BF2-823A-D87A417C5C28}"/>
  <tableColumns count="10">
    <tableColumn id="1" xr3:uid="{12AC805D-2F91-40F5-9009-0F44FC0B5C28}" name="[m3]" totalsRowLabel="Totale" dataDxfId="158" totalsRowDxfId="157"/>
    <tableColumn id="2" xr3:uid="{34E8F951-646C-4A5F-918C-26BF0EB936E6}" name="2022" totalsRowLabel="38.343" dataDxfId="156" totalsRowDxfId="155"/>
    <tableColumn id="3" xr3:uid="{89DF7F75-ABCA-4694-92EE-0E16CD810664}" name="2023" totalsRowFunction="sum" dataDxfId="154" totalsRowDxfId="153"/>
    <tableColumn id="4" xr3:uid="{044F5273-929D-49FB-91B6-DE7171D23B51}" name="2024" totalsRowFunction="sum" dataDxfId="152" totalsRowDxfId="151"/>
    <tableColumn id="5" xr3:uid="{D98D202C-7D84-4D91-8539-4F2B9FA2C1F9}" name="2025" totalsRowFunction="sum" dataDxfId="150" totalsRowDxfId="149"/>
    <tableColumn id="6" xr3:uid="{4E66B113-87F3-46CB-986F-DCE3E9AA3A49}" name="2026" totalsRowFunction="sum" dataDxfId="148" totalsRowDxfId="147"/>
    <tableColumn id="7" xr3:uid="{542DFA89-0F7F-4546-A259-173438E1968B}" name="2027" totalsRowFunction="sum" dataDxfId="146" totalsRowDxfId="145"/>
    <tableColumn id="8" xr3:uid="{F8BAB1AB-F321-4FE8-BBC1-0725AECBDBBC}" name="2028" totalsRowFunction="sum" dataDxfId="144" totalsRowDxfId="143"/>
    <tableColumn id="9" xr3:uid="{3F2124CE-FF3C-4123-A49F-FA43CE2D0F74}" name="2029" totalsRowFunction="sum" dataDxfId="142" totalsRowDxfId="141"/>
    <tableColumn id="10" xr3:uid="{46A691DF-2366-4EED-9410-1D518476E7AC}" name="2030" totalsRowFunction="sum" dataDxfId="140" totalsRowDxfId="13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3E009D2-05C0-4DFB-A747-52A2A4370114}" name="Tabella119" displayName="Tabella119" ref="B4:K17" totalsRowCount="1" dataDxfId="138">
  <autoFilter ref="B4:K16" xr:uid="{00000000-0009-0000-0100-00000B000000}"/>
  <tableColumns count="10">
    <tableColumn id="1" xr3:uid="{B9D0CD45-AFFC-45FA-A5E6-BF924AD3E400}" name="Mese" totalsRowLabel="Totale" dataDxfId="137" totalsRowDxfId="136"/>
    <tableColumn id="2" xr3:uid="{53D2F590-BF3F-4366-9350-91440546CBDD}" name="2022" totalsRowFunction="sum" dataDxfId="135" totalsRowDxfId="134"/>
    <tableColumn id="3" xr3:uid="{EC4C5CA2-8A26-4227-8985-612D977778EE}" name="2023" totalsRowFunction="custom" dataDxfId="133" totalsRowDxfId="132" dataCellStyle="Migliaia">
      <totalsRowFormula>SUM(D5:D16)</totalsRowFormula>
    </tableColumn>
    <tableColumn id="4" xr3:uid="{C8766113-0A3D-4773-A61E-C0831DDAA06D}" name="2024" totalsRowFunction="custom" dataDxfId="131" totalsRowDxfId="130" dataCellStyle="Migliaia">
      <totalsRowFormula>SUM(E5:E16)</totalsRowFormula>
    </tableColumn>
    <tableColumn id="5" xr3:uid="{04A72B4D-6DF9-47E5-81B0-510365C36DE7}" name="2025" totalsRowFunction="custom" dataDxfId="129" totalsRowDxfId="128" dataCellStyle="Migliaia">
      <totalsRowFormula>SUM(F5:F16)</totalsRowFormula>
    </tableColumn>
    <tableColumn id="6" xr3:uid="{CEBC5FD6-F21D-416E-800A-9997B4258768}" name="2026" dataDxfId="127" totalsRowDxfId="126"/>
    <tableColumn id="7" xr3:uid="{8E3D208A-2A1D-42A4-804C-36E75F025AFE}" name="2027" dataDxfId="125" totalsRowDxfId="124"/>
    <tableColumn id="8" xr3:uid="{1C306EBB-FDC6-41DC-9A7F-A3B7C0AE2A64}" name="2028" dataDxfId="123" totalsRowDxfId="122"/>
    <tableColumn id="9" xr3:uid="{C385EDD2-8162-4C56-B6D0-09A14944FB2B}" name="2029" dataDxfId="121" totalsRowDxfId="120"/>
    <tableColumn id="10" xr3:uid="{EFA087AB-E3F6-4BD1-94BD-590DE6A586F0}" name="2030" dataDxfId="119" totalsRowDxfId="118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BD72A2-3DDF-4060-87F8-A209483B83A7}" name="Tab_Metano" displayName="Tab_Metano" ref="B4:H17" totalsRowCount="1" headerRowDxfId="117" dataDxfId="116" totalsRowDxfId="115" headerRowCellStyle="Normale 2 2" dataCellStyle="Normale 2 2" totalsRowCellStyle="Normale 2 2">
  <autoFilter ref="B4:H16" xr:uid="{82BD72A2-3DDF-4060-87F8-A209483B83A7}"/>
  <tableColumns count="7">
    <tableColumn id="1" xr3:uid="{79BFFA49-8254-48EF-AE5C-5CEEF6EE71E8}" name=" [Stm3]" totalsRowLabel="Totale" dataDxfId="114" totalsRowDxfId="113" dataCellStyle="Normale 2 2" totalsRowCellStyle="Normale 2 2"/>
    <tableColumn id="6" xr3:uid="{999D9226-A370-488E-9E4F-309EC2DA16A6}" name="2022" totalsRowFunction="sum" dataDxfId="112" totalsRowDxfId="111" dataCellStyle="Normale 2 2" totalsRowCellStyle="Normale 2 2"/>
    <tableColumn id="7" xr3:uid="{BF9E8D9C-78FB-4382-8945-047C80888236}" name="2023" totalsRowFunction="sum" dataDxfId="110" totalsRowDxfId="109" dataCellStyle="Normale 2 2" totalsRowCellStyle="Normale 2 2"/>
    <tableColumn id="8" xr3:uid="{F835C8C2-5A37-4619-8B90-B29FC3569EA0}" name="2024" totalsRowFunction="sum" dataDxfId="108" totalsRowDxfId="107" dataCellStyle="Normale 2 2" totalsRowCellStyle="Normale 2 2"/>
    <tableColumn id="9" xr3:uid="{91E46C5E-939B-439B-8FB5-75FD36541C8A}" name="2025" totalsRowFunction="sum" dataDxfId="106" totalsRowDxfId="105" dataCellStyle="Migliaia" totalsRowCellStyle="Migliaia"/>
    <tableColumn id="10" xr3:uid="{D671E1E7-B79F-4FE5-85F9-90C46C3A290D}" name="2026" totalsRowFunction="sum" dataDxfId="104" totalsRowDxfId="103" dataCellStyle="Normale 2 2" totalsRowCellStyle="Normale 2 2"/>
    <tableColumn id="11" xr3:uid="{F006A3A0-D089-49AB-8D09-1E41C36BB3DF}" name="2027" totalsRowFunction="sum" dataDxfId="102" totalsRowDxfId="101" dataCellStyle="Normale 2 2" totalsRowCellStyle="Normale 2 2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67A7C67-F172-47EB-BE2D-EFC6EE11BE88}" name="Tab_Metano_PCI" displayName="Tab_Metano_PCI" ref="B21:H22" totalsRowShown="0" headerRowDxfId="100" dataDxfId="98" headerRowBorderDxfId="99" tableBorderDxfId="97" totalsRowBorderDxfId="96">
  <autoFilter ref="B21:H22" xr:uid="{367A7C67-F172-47EB-BE2D-EFC6EE11BE88}"/>
  <tableColumns count="7">
    <tableColumn id="1" xr3:uid="{23CBA494-1F56-4021-85B4-9DE5A0E630D7}" name="PCI" dataDxfId="95"/>
    <tableColumn id="6" xr3:uid="{B3EDA181-813F-48A0-B473-F7FA5873A98C}" name="2022" dataDxfId="94"/>
    <tableColumn id="7" xr3:uid="{CB378A21-5DD2-453A-BFB1-C507206FB8F1}" name="2023" dataDxfId="93"/>
    <tableColumn id="8" xr3:uid="{54F152FF-33F6-41BB-9DFE-A9300FC94F95}" name="2024" dataDxfId="92"/>
    <tableColumn id="9" xr3:uid="{F6B39424-4E6D-4CF0-AED7-52317BBC0B4A}" name="2025" dataDxfId="91"/>
    <tableColumn id="10" xr3:uid="{6274F3E3-087F-4FA9-9DAF-B4F66803899E}" name="2026" dataDxfId="90"/>
    <tableColumn id="11" xr3:uid="{FB2E40B1-A054-4A99-986B-CF24DFD15109}" name="2027" dataDxfId="89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E4B3B85-0599-497E-901B-BCC4F02DCFFB}" name="Tab_Metano30" displayName="Tab_Metano30" ref="B26:H39" totalsRowCount="1" headerRowDxfId="88" dataDxfId="87" totalsRowDxfId="86" headerRowCellStyle="Normale 2 2" dataCellStyle="Normale 2 2" totalsRowCellStyle="Normale 2 2">
  <autoFilter ref="B26:H38" xr:uid="{8E4B3B85-0599-497E-901B-BCC4F02DCFFB}"/>
  <tableColumns count="7">
    <tableColumn id="1" xr3:uid="{768EDAD2-EC3D-417E-A4C9-9CB4AB82FA54}" name=" [GJ]" totalsRowLabel="Totale" dataDxfId="85" totalsRowDxfId="84" dataCellStyle="Normale 2 2"/>
    <tableColumn id="6" xr3:uid="{3F2E4990-FF74-4D6F-824F-03E027BA835A}" name="2022" totalsRowFunction="sum" dataDxfId="83" totalsRowDxfId="82" dataCellStyle="Normale 2 2">
      <calculatedColumnFormula>C5/1000*$C$22</calculatedColumnFormula>
    </tableColumn>
    <tableColumn id="7" xr3:uid="{8C1A86E9-4BF4-42EE-9CF7-33FC017D4FAF}" name="2023" totalsRowFunction="sum" dataDxfId="81" totalsRowDxfId="80" dataCellStyle="Normale 2 2">
      <calculatedColumnFormula>D5/1000*$D$22</calculatedColumnFormula>
    </tableColumn>
    <tableColumn id="8" xr3:uid="{3EB7FD3F-9E80-4B0E-859F-3A900D2586F4}" name="2024" totalsRowFunction="sum" dataDxfId="79" totalsRowDxfId="78" dataCellStyle="Normale 2 2">
      <calculatedColumnFormula>E5/1000*$E$22</calculatedColumnFormula>
    </tableColumn>
    <tableColumn id="9" xr3:uid="{5248FAD3-A67C-4766-A21D-03A0F6AA7F98}" name="2025" totalsRowFunction="sum" dataDxfId="77" totalsRowDxfId="76" dataCellStyle="Normale 2 2">
      <calculatedColumnFormula>F5/1000*$F$22</calculatedColumnFormula>
    </tableColumn>
    <tableColumn id="10" xr3:uid="{6A010980-2AB9-48C4-98E6-F71AB30527F7}" name="2026" totalsRowFunction="sum" dataDxfId="75" totalsRowDxfId="74" dataCellStyle="Normale 2 2"/>
    <tableColumn id="11" xr3:uid="{401694A9-9906-4D67-BA34-743654D46FC8}" name="2027" totalsRowFunction="sum" dataDxfId="73" totalsRowDxfId="72" dataCellStyle="Normale 2 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tabSelected="1" topLeftCell="A16" zoomScaleNormal="100" workbookViewId="0">
      <selection activeCell="E8" sqref="E8"/>
    </sheetView>
  </sheetViews>
  <sheetFormatPr defaultColWidth="9.140625" defaultRowHeight="12.75" x14ac:dyDescent="0.2"/>
  <cols>
    <col min="1" max="1" width="24.7109375" style="3" bestFit="1" customWidth="1"/>
    <col min="2" max="7" width="16.28515625" style="3" customWidth="1"/>
    <col min="8" max="10" width="16.28515625" style="2" customWidth="1"/>
    <col min="11" max="16384" width="9.140625" style="2"/>
  </cols>
  <sheetData>
    <row r="1" spans="1:10" ht="22.5" customHeight="1" x14ac:dyDescent="0.2">
      <c r="A1" s="131" t="s">
        <v>79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7.25" customHeight="1" x14ac:dyDescent="0.2">
      <c r="A2" s="130" t="s">
        <v>28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28.5" customHeight="1" x14ac:dyDescent="0.2">
      <c r="A3" s="1" t="s">
        <v>42</v>
      </c>
      <c r="B3" s="7" t="s">
        <v>71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  <c r="I3" s="7" t="s">
        <v>58</v>
      </c>
      <c r="J3" s="7" t="s">
        <v>59</v>
      </c>
    </row>
    <row r="4" spans="1:10" ht="28.5" customHeight="1" x14ac:dyDescent="0.2">
      <c r="A4" s="1" t="s">
        <v>78</v>
      </c>
      <c r="B4" s="37">
        <v>1152943</v>
      </c>
      <c r="C4" s="37">
        <v>1102245</v>
      </c>
      <c r="D4" s="37">
        <v>1004359</v>
      </c>
      <c r="E4" s="37">
        <v>1214052</v>
      </c>
      <c r="F4" s="37"/>
      <c r="G4" s="37"/>
      <c r="H4" s="37"/>
      <c r="I4" s="37"/>
      <c r="J4" s="37"/>
    </row>
    <row r="5" spans="1:10" ht="28.5" customHeight="1" x14ac:dyDescent="0.2">
      <c r="A5" s="1" t="s">
        <v>72</v>
      </c>
      <c r="B5" s="10">
        <v>683504</v>
      </c>
      <c r="C5" s="10">
        <v>681832</v>
      </c>
      <c r="D5" s="10">
        <v>723423</v>
      </c>
      <c r="E5" s="10">
        <v>800920</v>
      </c>
      <c r="F5" s="10"/>
      <c r="G5" s="10"/>
      <c r="H5" s="10"/>
      <c r="I5" s="10"/>
      <c r="J5" s="10"/>
    </row>
    <row r="6" spans="1:10" ht="28.5" customHeight="1" x14ac:dyDescent="0.2">
      <c r="A6" s="1" t="s">
        <v>73</v>
      </c>
      <c r="B6" s="10">
        <v>30439</v>
      </c>
      <c r="C6" s="10">
        <v>26995</v>
      </c>
      <c r="D6" s="10">
        <v>25019</v>
      </c>
      <c r="E6" s="10">
        <v>29232</v>
      </c>
      <c r="F6" s="10"/>
      <c r="G6" s="10"/>
      <c r="H6" s="10"/>
      <c r="I6" s="10"/>
      <c r="J6" s="10"/>
    </row>
    <row r="7" spans="1:10" ht="28.5" customHeight="1" x14ac:dyDescent="0.2">
      <c r="A7" s="1" t="s">
        <v>74</v>
      </c>
      <c r="B7" s="10">
        <v>17750</v>
      </c>
      <c r="C7" s="10">
        <v>17750</v>
      </c>
      <c r="D7" s="10">
        <v>16980</v>
      </c>
      <c r="E7" s="10">
        <v>29260</v>
      </c>
      <c r="F7" s="10"/>
      <c r="G7" s="10"/>
      <c r="H7" s="10"/>
      <c r="I7" s="10"/>
      <c r="J7" s="10"/>
    </row>
    <row r="8" spans="1:10" ht="28.5" customHeight="1" x14ac:dyDescent="0.2">
      <c r="A8" s="1" t="s">
        <v>75</v>
      </c>
      <c r="B8" s="10">
        <v>450</v>
      </c>
      <c r="C8" s="10">
        <v>600</v>
      </c>
      <c r="D8" s="10">
        <v>300</v>
      </c>
      <c r="E8" s="10">
        <v>550</v>
      </c>
      <c r="F8" s="10"/>
      <c r="G8" s="10"/>
      <c r="H8" s="10"/>
      <c r="I8" s="10"/>
      <c r="J8" s="10"/>
    </row>
    <row r="9" spans="1:10" ht="28.5" customHeight="1" x14ac:dyDescent="0.2">
      <c r="A9" s="1" t="s">
        <v>76</v>
      </c>
      <c r="B9" s="10">
        <v>450</v>
      </c>
      <c r="C9" s="10">
        <v>600</v>
      </c>
      <c r="D9" s="10">
        <v>300</v>
      </c>
      <c r="E9" s="10">
        <v>650</v>
      </c>
      <c r="F9" s="10"/>
      <c r="G9" s="10"/>
      <c r="H9" s="10"/>
      <c r="I9" s="10"/>
      <c r="J9" s="10"/>
    </row>
    <row r="10" spans="1:10" ht="28.5" customHeight="1" x14ac:dyDescent="0.2">
      <c r="A10" s="1" t="s">
        <v>77</v>
      </c>
      <c r="B10" s="10">
        <v>22</v>
      </c>
      <c r="C10" s="10">
        <v>23</v>
      </c>
      <c r="D10" s="10">
        <v>24</v>
      </c>
      <c r="E10" s="10">
        <v>20</v>
      </c>
      <c r="F10" s="10"/>
      <c r="G10" s="10"/>
      <c r="H10" s="10"/>
      <c r="I10" s="10"/>
      <c r="J10" s="10"/>
    </row>
    <row r="15" spans="1:10" x14ac:dyDescent="0.2">
      <c r="F15" s="125"/>
      <c r="G15" s="125"/>
      <c r="H15" s="125"/>
      <c r="I15" s="125"/>
    </row>
    <row r="17" spans="6:9" x14ac:dyDescent="0.2">
      <c r="F17" s="125"/>
      <c r="G17" s="125"/>
      <c r="H17" s="125"/>
      <c r="I17" s="125"/>
    </row>
  </sheetData>
  <mergeCells count="2">
    <mergeCell ref="A2:J2"/>
    <mergeCell ref="A1:J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>
    <oddHeader>&amp;C&amp;F</oddHeader>
    <oddFooter>&amp;C&amp;A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ADA6-F920-4429-9EC8-A383E4A155E5}">
  <dimension ref="A1:J17"/>
  <sheetViews>
    <sheetView workbookViewId="0">
      <selection activeCell="M12" sqref="M12"/>
    </sheetView>
  </sheetViews>
  <sheetFormatPr defaultRowHeight="12.75" x14ac:dyDescent="0.2"/>
  <sheetData>
    <row r="1" spans="1:10" ht="18" x14ac:dyDescent="0.2">
      <c r="A1" s="133" t="s">
        <v>83</v>
      </c>
      <c r="B1" s="133"/>
      <c r="C1" s="133"/>
      <c r="D1" s="133"/>
      <c r="E1" s="133"/>
      <c r="F1" s="133"/>
      <c r="G1" s="133"/>
      <c r="H1" s="133"/>
      <c r="I1" s="133"/>
    </row>
    <row r="3" spans="1:10" x14ac:dyDescent="0.2">
      <c r="A3" s="4"/>
      <c r="B3" s="38"/>
      <c r="C3" s="38"/>
      <c r="D3" s="38"/>
      <c r="E3" s="38"/>
      <c r="F3" s="38"/>
      <c r="G3" s="38"/>
      <c r="H3" s="38"/>
      <c r="I3" s="38"/>
    </row>
    <row r="4" spans="1:10" ht="14.25" x14ac:dyDescent="0.2">
      <c r="A4" s="24" t="s">
        <v>82</v>
      </c>
      <c r="B4" s="24" t="s">
        <v>71</v>
      </c>
      <c r="C4" s="24" t="s">
        <v>52</v>
      </c>
      <c r="D4" s="24" t="s">
        <v>53</v>
      </c>
      <c r="E4" s="24" t="s">
        <v>54</v>
      </c>
      <c r="F4" s="24" t="s">
        <v>55</v>
      </c>
      <c r="G4" s="24" t="s">
        <v>56</v>
      </c>
      <c r="H4" s="24" t="s">
        <v>57</v>
      </c>
      <c r="I4" s="24" t="s">
        <v>58</v>
      </c>
      <c r="J4" s="24" t="s">
        <v>59</v>
      </c>
    </row>
    <row r="5" spans="1:10" x14ac:dyDescent="0.2">
      <c r="A5" s="24" t="s">
        <v>2</v>
      </c>
      <c r="B5" s="38">
        <v>10750</v>
      </c>
      <c r="C5" s="38">
        <v>12537</v>
      </c>
      <c r="D5" s="72">
        <v>12919</v>
      </c>
      <c r="E5" s="38">
        <v>16575</v>
      </c>
      <c r="F5" s="38"/>
      <c r="G5" s="38"/>
      <c r="H5" s="38"/>
      <c r="I5" s="38"/>
      <c r="J5" s="38"/>
    </row>
    <row r="6" spans="1:10" x14ac:dyDescent="0.2">
      <c r="A6" s="24" t="s">
        <v>3</v>
      </c>
      <c r="B6" s="38">
        <v>10544</v>
      </c>
      <c r="C6" s="38">
        <v>13979</v>
      </c>
      <c r="D6" s="72">
        <v>12293</v>
      </c>
      <c r="E6" s="38">
        <v>13353</v>
      </c>
      <c r="F6" s="38"/>
      <c r="G6" s="38"/>
      <c r="H6" s="38"/>
      <c r="I6" s="38"/>
      <c r="J6" s="38"/>
    </row>
    <row r="7" spans="1:10" x14ac:dyDescent="0.2">
      <c r="A7" s="24" t="s">
        <v>4</v>
      </c>
      <c r="B7" s="38">
        <v>12974</v>
      </c>
      <c r="C7" s="38">
        <v>15481</v>
      </c>
      <c r="D7" s="72">
        <v>11477</v>
      </c>
      <c r="E7" s="38">
        <v>14328</v>
      </c>
      <c r="F7" s="38"/>
      <c r="G7" s="38"/>
      <c r="H7" s="38"/>
      <c r="I7" s="38"/>
      <c r="J7" s="38"/>
    </row>
    <row r="8" spans="1:10" x14ac:dyDescent="0.2">
      <c r="A8" s="24" t="s">
        <v>5</v>
      </c>
      <c r="B8" s="38">
        <v>12142</v>
      </c>
      <c r="C8" s="38">
        <v>9648</v>
      </c>
      <c r="D8" s="72">
        <v>11383</v>
      </c>
      <c r="E8" s="38">
        <v>12052</v>
      </c>
      <c r="F8" s="38"/>
      <c r="G8" s="38"/>
      <c r="H8" s="38"/>
      <c r="I8" s="38"/>
      <c r="J8" s="38"/>
    </row>
    <row r="9" spans="1:10" x14ac:dyDescent="0.2">
      <c r="A9" s="24" t="s">
        <v>6</v>
      </c>
      <c r="B9" s="38">
        <v>13512</v>
      </c>
      <c r="C9" s="38">
        <v>13908</v>
      </c>
      <c r="D9" s="72">
        <v>12029</v>
      </c>
      <c r="E9" s="38">
        <v>12360</v>
      </c>
      <c r="F9" s="38"/>
      <c r="G9" s="38"/>
      <c r="H9" s="38"/>
      <c r="I9" s="38"/>
      <c r="J9" s="38"/>
    </row>
    <row r="10" spans="1:10" x14ac:dyDescent="0.2">
      <c r="A10" s="24" t="s">
        <v>7</v>
      </c>
      <c r="B10" s="38">
        <v>15346</v>
      </c>
      <c r="C10" s="38">
        <v>13679</v>
      </c>
      <c r="D10" s="72">
        <v>14004</v>
      </c>
      <c r="E10" s="38">
        <v>11329</v>
      </c>
      <c r="F10" s="38"/>
      <c r="G10" s="38"/>
      <c r="H10" s="38"/>
      <c r="I10" s="38"/>
      <c r="J10" s="38"/>
    </row>
    <row r="11" spans="1:10" x14ac:dyDescent="0.2">
      <c r="A11" s="24" t="s">
        <v>8</v>
      </c>
      <c r="B11" s="38">
        <v>12197</v>
      </c>
      <c r="C11" s="38">
        <v>10348</v>
      </c>
      <c r="D11" s="72">
        <v>12934</v>
      </c>
      <c r="E11" s="38">
        <v>13324</v>
      </c>
      <c r="F11" s="38"/>
      <c r="G11" s="38"/>
      <c r="H11" s="38"/>
      <c r="I11" s="38"/>
      <c r="J11" s="38"/>
    </row>
    <row r="12" spans="1:10" x14ac:dyDescent="0.2">
      <c r="A12" s="24" t="s">
        <v>9</v>
      </c>
      <c r="B12" s="38">
        <v>2234</v>
      </c>
      <c r="C12" s="38">
        <v>3060</v>
      </c>
      <c r="D12" s="72">
        <v>3884</v>
      </c>
      <c r="E12" s="38">
        <v>3448</v>
      </c>
      <c r="F12" s="38"/>
      <c r="G12" s="38"/>
      <c r="H12" s="38"/>
      <c r="I12" s="38"/>
      <c r="J12" s="38"/>
    </row>
    <row r="13" spans="1:10" x14ac:dyDescent="0.2">
      <c r="A13" s="24" t="s">
        <v>10</v>
      </c>
      <c r="B13" s="38">
        <v>20369</v>
      </c>
      <c r="C13" s="38">
        <v>16835</v>
      </c>
      <c r="D13" s="72">
        <v>17450</v>
      </c>
      <c r="E13" s="38">
        <v>17324</v>
      </c>
      <c r="F13" s="38"/>
      <c r="G13" s="38"/>
      <c r="H13" s="38"/>
      <c r="I13" s="38"/>
      <c r="J13" s="38"/>
    </row>
    <row r="14" spans="1:10" x14ac:dyDescent="0.2">
      <c r="A14" s="24" t="s">
        <v>11</v>
      </c>
      <c r="B14" s="38">
        <v>14730</v>
      </c>
      <c r="C14" s="38">
        <v>15000</v>
      </c>
      <c r="D14" s="72">
        <v>21292</v>
      </c>
      <c r="E14" s="38">
        <v>16156</v>
      </c>
      <c r="F14" s="38"/>
      <c r="G14" s="38"/>
      <c r="H14" s="38"/>
      <c r="I14" s="38"/>
      <c r="J14" s="38"/>
    </row>
    <row r="15" spans="1:10" x14ac:dyDescent="0.2">
      <c r="A15" s="24" t="s">
        <v>12</v>
      </c>
      <c r="B15" s="38">
        <v>14276</v>
      </c>
      <c r="C15" s="38">
        <v>12942</v>
      </c>
      <c r="D15" s="72">
        <v>15741</v>
      </c>
      <c r="E15" s="38">
        <v>13487</v>
      </c>
      <c r="F15" s="38"/>
      <c r="G15" s="38"/>
      <c r="H15" s="38"/>
      <c r="I15" s="38"/>
      <c r="J15" s="38"/>
    </row>
    <row r="16" spans="1:10" x14ac:dyDescent="0.2">
      <c r="A16" s="24" t="s">
        <v>13</v>
      </c>
      <c r="B16" s="38">
        <v>9144</v>
      </c>
      <c r="C16" s="38">
        <v>7487</v>
      </c>
      <c r="D16" s="72">
        <v>9279</v>
      </c>
      <c r="E16" s="38">
        <v>7254</v>
      </c>
      <c r="F16" s="38"/>
      <c r="G16" s="38"/>
      <c r="H16" s="38"/>
      <c r="I16" s="38"/>
      <c r="J16" s="38"/>
    </row>
    <row r="17" spans="1:10" x14ac:dyDescent="0.2">
      <c r="A17" s="24" t="s">
        <v>14</v>
      </c>
      <c r="B17" s="24">
        <f>SUBTOTAL(109,Tabella16[2022])</f>
        <v>148218</v>
      </c>
      <c r="C17" s="24">
        <f>SUBTOTAL(109,Tabella16[2023])</f>
        <v>144904</v>
      </c>
      <c r="D17" s="24">
        <f>SUBTOTAL(109,Tabella16[2024])</f>
        <v>154685</v>
      </c>
      <c r="E17" s="24">
        <f>SUBTOTAL(109,Tabella16[2025])</f>
        <v>150990</v>
      </c>
      <c r="F17" s="24">
        <f>SUBTOTAL(109,Tabella16[2026])</f>
        <v>0</v>
      </c>
      <c r="G17" s="24">
        <f>SUBTOTAL(109,Tabella16[2027])</f>
        <v>0</v>
      </c>
      <c r="H17" s="24">
        <f>SUBTOTAL(109,Tabella16[2028])</f>
        <v>0</v>
      </c>
      <c r="I17" s="24">
        <f>SUBTOTAL(109,Tabella16[2029])</f>
        <v>0</v>
      </c>
      <c r="J17" s="24">
        <f>SUBTOTAL(109,Tabella16[2030])</f>
        <v>0</v>
      </c>
    </row>
  </sheetData>
  <mergeCells count="1">
    <mergeCell ref="A1:I1"/>
  </mergeCells>
  <phoneticPr fontId="19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1"/>
  <sheetViews>
    <sheetView topLeftCell="A19" zoomScaleNormal="100" zoomScaleSheetLayoutView="55" workbookViewId="0">
      <selection activeCell="M9" sqref="M9"/>
    </sheetView>
  </sheetViews>
  <sheetFormatPr defaultColWidth="9.140625" defaultRowHeight="12.75" x14ac:dyDescent="0.2"/>
  <cols>
    <col min="1" max="1" width="20" style="1" bestFit="1" customWidth="1"/>
    <col min="2" max="2" width="15.7109375" style="1" customWidth="1"/>
    <col min="3" max="3" width="9.5703125" style="2" bestFit="1" customWidth="1"/>
    <col min="4" max="8" width="9.28515625" style="2" bestFit="1" customWidth="1"/>
    <col min="9" max="9" width="10.28515625" style="5" bestFit="1" customWidth="1"/>
    <col min="10" max="10" width="9.28515625" style="2" bestFit="1" customWidth="1"/>
    <col min="11" max="14" width="9.140625" style="2"/>
    <col min="15" max="15" width="17.5703125" style="2" customWidth="1"/>
    <col min="16" max="16" width="10.42578125" style="2" customWidth="1"/>
    <col min="17" max="16384" width="9.140625" style="2"/>
  </cols>
  <sheetData>
    <row r="1" spans="1:15" ht="21" customHeight="1" x14ac:dyDescent="0.2">
      <c r="A1" s="133" t="s">
        <v>29</v>
      </c>
      <c r="B1" s="133"/>
      <c r="C1" s="133"/>
      <c r="D1" s="133"/>
      <c r="E1" s="133"/>
      <c r="F1" s="133"/>
      <c r="G1" s="133"/>
      <c r="H1" s="133"/>
      <c r="I1" s="133"/>
      <c r="J1" s="133"/>
      <c r="K1" s="4"/>
      <c r="L1" s="4"/>
      <c r="M1" s="4"/>
      <c r="N1" s="4"/>
      <c r="O1" s="4"/>
    </row>
    <row r="2" spans="1:15" x14ac:dyDescent="0.2">
      <c r="O2" s="9"/>
    </row>
    <row r="3" spans="1:15" ht="24.75" customHeight="1" x14ac:dyDescent="0.2">
      <c r="A3" s="1" t="s">
        <v>15</v>
      </c>
      <c r="B3" s="1" t="s">
        <v>32</v>
      </c>
      <c r="C3" s="27" t="s">
        <v>71</v>
      </c>
      <c r="D3" s="27" t="s">
        <v>52</v>
      </c>
      <c r="E3" s="27" t="s">
        <v>53</v>
      </c>
      <c r="F3" s="27" t="s">
        <v>54</v>
      </c>
      <c r="G3" s="27" t="s">
        <v>55</v>
      </c>
      <c r="H3" s="27" t="s">
        <v>56</v>
      </c>
      <c r="I3" s="27" t="s">
        <v>57</v>
      </c>
      <c r="J3" s="27" t="s">
        <v>58</v>
      </c>
      <c r="K3" s="27" t="s">
        <v>59</v>
      </c>
    </row>
    <row r="4" spans="1:15" x14ac:dyDescent="0.2">
      <c r="A4" s="6" t="s">
        <v>80</v>
      </c>
      <c r="B4" s="6" t="s">
        <v>39</v>
      </c>
      <c r="C4" s="10">
        <v>122140</v>
      </c>
      <c r="D4" s="10">
        <f>Tabella4[[#Totals],[2023]]</f>
        <v>120130</v>
      </c>
      <c r="E4" s="10">
        <f>Tabella4[[#Totals],[2024]]</f>
        <v>130950</v>
      </c>
      <c r="F4" s="10">
        <f>Tabella4[[#Totals],[2025]]</f>
        <v>112513</v>
      </c>
      <c r="G4" s="10">
        <f>Tabella4[[#Totals],[2026]]</f>
        <v>0</v>
      </c>
      <c r="H4" s="10">
        <f>Tabella4[[#Totals],[2027]]</f>
        <v>0</v>
      </c>
      <c r="I4" s="10">
        <f>Tabella4[[#Totals],[2028]]</f>
        <v>0</v>
      </c>
      <c r="J4" s="10">
        <f>Tabella4[[#Totals],[2029]]</f>
        <v>0</v>
      </c>
      <c r="K4" s="10">
        <f>Tabella4[[#Totals],[2030]]</f>
        <v>0</v>
      </c>
    </row>
    <row r="5" spans="1:15" x14ac:dyDescent="0.2">
      <c r="A5" s="6" t="s">
        <v>81</v>
      </c>
      <c r="B5" s="6" t="s">
        <v>39</v>
      </c>
      <c r="C5" s="10">
        <v>38343</v>
      </c>
      <c r="D5" s="10">
        <f>Tabella5[[#Totals],[2023]]</f>
        <v>37771</v>
      </c>
      <c r="E5" s="10">
        <f>Tabella5[[#Totals],[2024]]</f>
        <v>26394</v>
      </c>
      <c r="F5" s="10">
        <f>Tabella5[[#Totals],[2025]]</f>
        <v>53025</v>
      </c>
      <c r="G5" s="10">
        <f>Tabella5[[#Totals],[2026]]</f>
        <v>0</v>
      </c>
      <c r="H5" s="10">
        <f>Tabella5[[#Totals],[2027]]</f>
        <v>0</v>
      </c>
      <c r="I5" s="10">
        <f>Tabella5[[#Totals],[2028]]</f>
        <v>0</v>
      </c>
      <c r="J5" s="10">
        <f>Tabella5[[#Totals],[2029]]</f>
        <v>0</v>
      </c>
      <c r="K5" s="10">
        <f>Tabella5[[#Totals],[2030]]</f>
        <v>0</v>
      </c>
    </row>
    <row r="6" spans="1:15" ht="38.25" x14ac:dyDescent="0.2">
      <c r="A6" s="7" t="s">
        <v>30</v>
      </c>
      <c r="B6" s="7" t="s">
        <v>33</v>
      </c>
      <c r="C6" s="10">
        <f>SUBTOTAL(109,C4:C5)</f>
        <v>160483</v>
      </c>
      <c r="D6" s="10">
        <f>SUBTOTAL(109,D4:D5)</f>
        <v>157901</v>
      </c>
      <c r="E6" s="10">
        <f t="shared" ref="E6:K6" si="0">SUBTOTAL(109,E4:E5)</f>
        <v>157344</v>
      </c>
      <c r="F6" s="10">
        <f t="shared" si="0"/>
        <v>165538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5" x14ac:dyDescent="0.2">
      <c r="A7" s="7" t="s">
        <v>31</v>
      </c>
      <c r="B7" s="25" t="s">
        <v>34</v>
      </c>
      <c r="C7" s="10">
        <v>1490</v>
      </c>
      <c r="D7" s="10">
        <v>310</v>
      </c>
      <c r="E7" s="10">
        <v>90</v>
      </c>
      <c r="F7" s="10">
        <v>63</v>
      </c>
      <c r="G7" s="10"/>
      <c r="H7" s="10"/>
      <c r="I7" s="8"/>
      <c r="J7" s="8"/>
      <c r="K7" s="10"/>
    </row>
    <row r="8" spans="1:15" x14ac:dyDescent="0.2">
      <c r="A8" s="7" t="s">
        <v>119</v>
      </c>
      <c r="B8" s="81"/>
      <c r="C8" s="10"/>
      <c r="D8" s="10"/>
      <c r="E8" s="10"/>
      <c r="F8" s="10">
        <v>70843</v>
      </c>
      <c r="G8" s="10"/>
      <c r="H8" s="10"/>
      <c r="I8" s="10"/>
      <c r="J8" s="10"/>
      <c r="K8" s="10"/>
    </row>
    <row r="10" spans="1:15" x14ac:dyDescent="0.2">
      <c r="A10" s="1" t="s">
        <v>80</v>
      </c>
      <c r="B10"/>
      <c r="C10"/>
      <c r="D10"/>
      <c r="E10"/>
      <c r="F10"/>
      <c r="G10"/>
      <c r="H10"/>
      <c r="I10"/>
      <c r="J10"/>
    </row>
    <row r="11" spans="1:15" ht="14.25" x14ac:dyDescent="0.2">
      <c r="A11" s="1" t="s">
        <v>88</v>
      </c>
      <c r="B11" s="1" t="s">
        <v>71</v>
      </c>
      <c r="C11" s="1" t="s">
        <v>52</v>
      </c>
      <c r="D11" s="1" t="s">
        <v>53</v>
      </c>
      <c r="E11" s="1" t="s">
        <v>54</v>
      </c>
      <c r="F11" s="1" t="s">
        <v>55</v>
      </c>
      <c r="G11" s="1" t="s">
        <v>56</v>
      </c>
      <c r="H11" s="1" t="s">
        <v>57</v>
      </c>
      <c r="I11" s="1" t="s">
        <v>58</v>
      </c>
      <c r="J11" s="1" t="s">
        <v>59</v>
      </c>
    </row>
    <row r="12" spans="1:15" ht="10.5" customHeight="1" x14ac:dyDescent="0.2">
      <c r="A12" s="1" t="s">
        <v>2</v>
      </c>
      <c r="B12" s="47"/>
      <c r="C12" s="10">
        <v>10330</v>
      </c>
      <c r="D12" s="10">
        <v>11320</v>
      </c>
      <c r="E12" s="10">
        <v>13820</v>
      </c>
      <c r="F12" s="10"/>
      <c r="G12" s="10"/>
      <c r="H12" s="10"/>
      <c r="I12" s="31"/>
      <c r="J12" s="10"/>
    </row>
    <row r="13" spans="1:15" x14ac:dyDescent="0.2">
      <c r="A13" s="1" t="s">
        <v>3</v>
      </c>
      <c r="B13" s="47"/>
      <c r="C13" s="10">
        <v>9790</v>
      </c>
      <c r="D13" s="10">
        <v>10230</v>
      </c>
      <c r="E13" s="10">
        <v>9000</v>
      </c>
      <c r="F13" s="10"/>
      <c r="G13" s="10"/>
      <c r="H13" s="10"/>
      <c r="I13" s="31"/>
      <c r="J13" s="10"/>
    </row>
    <row r="14" spans="1:15" x14ac:dyDescent="0.2">
      <c r="A14" s="1" t="s">
        <v>4</v>
      </c>
      <c r="B14" s="47"/>
      <c r="C14" s="10">
        <v>11870</v>
      </c>
      <c r="D14" s="10">
        <v>9480</v>
      </c>
      <c r="E14" s="10">
        <v>10310</v>
      </c>
      <c r="F14" s="10"/>
      <c r="G14" s="10"/>
      <c r="H14" s="10"/>
      <c r="I14" s="31"/>
      <c r="J14" s="10"/>
    </row>
    <row r="15" spans="1:15" x14ac:dyDescent="0.2">
      <c r="A15" s="1" t="s">
        <v>5</v>
      </c>
      <c r="B15" s="47"/>
      <c r="C15" s="10">
        <v>7930</v>
      </c>
      <c r="D15" s="10">
        <v>9230</v>
      </c>
      <c r="E15" s="10">
        <v>8880</v>
      </c>
      <c r="F15" s="10"/>
      <c r="G15" s="10"/>
      <c r="H15" s="10"/>
      <c r="I15" s="31"/>
      <c r="J15" s="10"/>
    </row>
    <row r="16" spans="1:15" x14ac:dyDescent="0.2">
      <c r="A16" s="1" t="s">
        <v>6</v>
      </c>
      <c r="B16" s="47"/>
      <c r="C16" s="10">
        <v>12420</v>
      </c>
      <c r="D16" s="10">
        <v>10180</v>
      </c>
      <c r="E16" s="10">
        <v>9180</v>
      </c>
      <c r="F16" s="10"/>
      <c r="G16" s="10"/>
      <c r="H16" s="10"/>
      <c r="I16" s="31"/>
      <c r="J16" s="10"/>
    </row>
    <row r="17" spans="1:10" x14ac:dyDescent="0.2">
      <c r="A17" s="1" t="s">
        <v>7</v>
      </c>
      <c r="B17" s="47"/>
      <c r="C17" s="10">
        <v>12770</v>
      </c>
      <c r="D17" s="10">
        <v>11720</v>
      </c>
      <c r="E17" s="10">
        <v>10110</v>
      </c>
      <c r="F17" s="10"/>
      <c r="G17" s="10"/>
      <c r="H17" s="10"/>
      <c r="I17" s="31"/>
      <c r="J17" s="10"/>
    </row>
    <row r="18" spans="1:10" x14ac:dyDescent="0.2">
      <c r="A18" s="1" t="s">
        <v>8</v>
      </c>
      <c r="B18" s="47"/>
      <c r="C18" s="10">
        <v>7980</v>
      </c>
      <c r="D18" s="10">
        <v>11370</v>
      </c>
      <c r="E18" s="10">
        <v>8790</v>
      </c>
      <c r="F18" s="10"/>
      <c r="G18" s="10"/>
      <c r="H18" s="10"/>
      <c r="I18" s="31"/>
      <c r="J18" s="10"/>
    </row>
    <row r="19" spans="1:10" x14ac:dyDescent="0.2">
      <c r="A19" s="1" t="s">
        <v>9</v>
      </c>
      <c r="B19" s="47"/>
      <c r="C19" s="10">
        <v>2651</v>
      </c>
      <c r="D19" s="10">
        <v>2690</v>
      </c>
      <c r="E19" s="10">
        <v>2931</v>
      </c>
      <c r="F19" s="10"/>
      <c r="G19" s="10"/>
      <c r="H19" s="10"/>
      <c r="I19" s="31"/>
      <c r="J19" s="10"/>
    </row>
    <row r="20" spans="1:10" x14ac:dyDescent="0.2">
      <c r="A20" s="1" t="s">
        <v>10</v>
      </c>
      <c r="B20" s="47"/>
      <c r="C20" s="10">
        <v>14582</v>
      </c>
      <c r="D20" s="10">
        <v>15790</v>
      </c>
      <c r="E20" s="10">
        <v>11400</v>
      </c>
      <c r="F20" s="10"/>
      <c r="G20" s="10"/>
      <c r="H20" s="10"/>
      <c r="I20" s="31"/>
      <c r="J20" s="10"/>
    </row>
    <row r="21" spans="1:10" x14ac:dyDescent="0.2">
      <c r="A21" s="1" t="s">
        <v>11</v>
      </c>
      <c r="B21" s="47"/>
      <c r="C21" s="10">
        <v>13257</v>
      </c>
      <c r="D21" s="10">
        <v>17940</v>
      </c>
      <c r="E21" s="10">
        <v>11958</v>
      </c>
      <c r="F21" s="10"/>
      <c r="G21" s="10"/>
      <c r="H21" s="10"/>
      <c r="I21" s="31"/>
      <c r="J21" s="10"/>
    </row>
    <row r="22" spans="1:10" x14ac:dyDescent="0.2">
      <c r="A22" s="1" t="s">
        <v>12</v>
      </c>
      <c r="B22" s="47"/>
      <c r="C22" s="10">
        <v>10300</v>
      </c>
      <c r="D22" s="10">
        <v>12900</v>
      </c>
      <c r="E22" s="10">
        <v>10134</v>
      </c>
      <c r="F22" s="10"/>
      <c r="G22" s="10"/>
      <c r="H22" s="10"/>
      <c r="I22" s="31"/>
      <c r="J22" s="10"/>
    </row>
    <row r="23" spans="1:10" x14ac:dyDescent="0.2">
      <c r="A23" s="1" t="s">
        <v>13</v>
      </c>
      <c r="B23" s="47"/>
      <c r="C23" s="10">
        <v>6250</v>
      </c>
      <c r="D23" s="10">
        <v>8100</v>
      </c>
      <c r="E23" s="10">
        <v>6000</v>
      </c>
      <c r="F23" s="10"/>
      <c r="G23" s="10"/>
      <c r="H23" s="10"/>
      <c r="I23" s="31"/>
      <c r="J23" s="10"/>
    </row>
    <row r="24" spans="1:10" x14ac:dyDescent="0.2">
      <c r="A24" s="1" t="s">
        <v>14</v>
      </c>
      <c r="B24" s="37" t="s">
        <v>90</v>
      </c>
      <c r="C24" s="37">
        <f>SUBTOTAL(109,Tabella4[2023])</f>
        <v>120130</v>
      </c>
      <c r="D24" s="37">
        <f>SUBTOTAL(109,Tabella4[2024])</f>
        <v>130950</v>
      </c>
      <c r="E24" s="37">
        <f>SUBTOTAL(109,Tabella4[2025])</f>
        <v>112513</v>
      </c>
      <c r="F24" s="37">
        <f>SUBTOTAL(109,Tabella4[2026])</f>
        <v>0</v>
      </c>
      <c r="G24" s="37">
        <f>SUBTOTAL(109,Tabella4[2027])</f>
        <v>0</v>
      </c>
      <c r="H24" s="37">
        <f>SUBTOTAL(109,Tabella4[2028])</f>
        <v>0</v>
      </c>
      <c r="I24" s="37">
        <f>SUBTOTAL(109,Tabella4[2029])</f>
        <v>0</v>
      </c>
      <c r="J24" s="37">
        <f>SUBTOTAL(109,Tabella4[2030])</f>
        <v>0</v>
      </c>
    </row>
    <row r="27" spans="1:10" x14ac:dyDescent="0.2">
      <c r="A27" s="134" t="s">
        <v>81</v>
      </c>
      <c r="B27" s="134"/>
      <c r="C27"/>
      <c r="D27"/>
      <c r="E27"/>
      <c r="F27"/>
      <c r="G27"/>
      <c r="H27"/>
      <c r="I27"/>
      <c r="J27"/>
    </row>
    <row r="28" spans="1:10" ht="14.25" x14ac:dyDescent="0.2">
      <c r="A28" s="1" t="s">
        <v>88</v>
      </c>
      <c r="B28" s="1" t="s">
        <v>71</v>
      </c>
      <c r="C28" s="1" t="s">
        <v>52</v>
      </c>
      <c r="D28" s="1" t="s">
        <v>53</v>
      </c>
      <c r="E28" s="1" t="s">
        <v>54</v>
      </c>
      <c r="F28" s="1" t="s">
        <v>55</v>
      </c>
      <c r="G28" s="1" t="s">
        <v>56</v>
      </c>
      <c r="H28" s="1" t="s">
        <v>57</v>
      </c>
      <c r="I28" s="1" t="s">
        <v>58</v>
      </c>
      <c r="J28" s="1" t="s">
        <v>59</v>
      </c>
    </row>
    <row r="29" spans="1:10" x14ac:dyDescent="0.2">
      <c r="A29" s="1" t="s">
        <v>2</v>
      </c>
      <c r="B29" s="47"/>
      <c r="C29" s="10">
        <v>3400</v>
      </c>
      <c r="D29" s="10">
        <v>2304</v>
      </c>
      <c r="E29" s="10">
        <v>1603</v>
      </c>
      <c r="F29" s="10"/>
      <c r="G29" s="10"/>
      <c r="H29" s="10"/>
      <c r="I29" s="31"/>
      <c r="J29" s="10"/>
    </row>
    <row r="30" spans="1:10" x14ac:dyDescent="0.2">
      <c r="A30" s="1" t="s">
        <v>3</v>
      </c>
      <c r="B30" s="47"/>
      <c r="C30" s="10">
        <v>4000</v>
      </c>
      <c r="D30" s="10">
        <v>2176</v>
      </c>
      <c r="E30" s="10">
        <v>6256</v>
      </c>
      <c r="F30" s="10"/>
      <c r="G30" s="10"/>
      <c r="H30" s="10"/>
      <c r="I30" s="31"/>
      <c r="J30" s="10"/>
    </row>
    <row r="31" spans="1:10" x14ac:dyDescent="0.2">
      <c r="A31" s="1" t="s">
        <v>4</v>
      </c>
      <c r="B31" s="47"/>
      <c r="C31" s="10">
        <v>3951</v>
      </c>
      <c r="D31" s="10">
        <v>2176</v>
      </c>
      <c r="E31" s="10">
        <v>5101</v>
      </c>
      <c r="F31" s="10"/>
      <c r="G31" s="10"/>
      <c r="H31" s="10"/>
      <c r="I31" s="31"/>
      <c r="J31" s="10"/>
    </row>
    <row r="32" spans="1:10" x14ac:dyDescent="0.2">
      <c r="A32" s="1" t="s">
        <v>5</v>
      </c>
      <c r="B32" s="47"/>
      <c r="C32" s="10">
        <v>2921</v>
      </c>
      <c r="D32" s="10">
        <v>2501</v>
      </c>
      <c r="E32" s="10">
        <v>2860</v>
      </c>
      <c r="F32" s="10"/>
      <c r="G32" s="10"/>
      <c r="H32" s="10"/>
      <c r="I32" s="31"/>
      <c r="J32" s="10"/>
    </row>
    <row r="33" spans="1:10" x14ac:dyDescent="0.2">
      <c r="A33" s="1" t="s">
        <v>6</v>
      </c>
      <c r="B33" s="47"/>
      <c r="C33" s="10">
        <v>3436</v>
      </c>
      <c r="D33" s="10">
        <v>1698</v>
      </c>
      <c r="E33" s="10">
        <v>1915</v>
      </c>
      <c r="F33" s="10"/>
      <c r="G33" s="10"/>
      <c r="H33" s="10"/>
      <c r="I33" s="31"/>
      <c r="J33" s="10"/>
    </row>
    <row r="34" spans="1:10" x14ac:dyDescent="0.2">
      <c r="A34" s="1" t="s">
        <v>7</v>
      </c>
      <c r="B34" s="47"/>
      <c r="C34" s="10">
        <v>4000</v>
      </c>
      <c r="D34" s="10">
        <v>2812</v>
      </c>
      <c r="E34" s="10">
        <v>3569</v>
      </c>
      <c r="F34" s="10"/>
      <c r="G34" s="10"/>
      <c r="H34" s="10"/>
      <c r="I34" s="31"/>
      <c r="J34" s="10"/>
    </row>
    <row r="35" spans="1:10" x14ac:dyDescent="0.2">
      <c r="A35" s="1" t="s">
        <v>8</v>
      </c>
      <c r="B35" s="47"/>
      <c r="C35" s="10">
        <v>3854</v>
      </c>
      <c r="D35" s="10">
        <v>2267</v>
      </c>
      <c r="E35" s="10">
        <v>8193</v>
      </c>
      <c r="F35" s="10"/>
      <c r="G35" s="10"/>
      <c r="H35" s="10"/>
      <c r="I35" s="31"/>
      <c r="J35" s="10"/>
    </row>
    <row r="36" spans="1:10" x14ac:dyDescent="0.2">
      <c r="A36" s="1" t="s">
        <v>9</v>
      </c>
      <c r="B36" s="47"/>
      <c r="C36" s="10">
        <v>624</v>
      </c>
      <c r="D36" s="10">
        <v>460</v>
      </c>
      <c r="E36" s="10">
        <v>1574</v>
      </c>
      <c r="F36" s="10"/>
      <c r="G36" s="10"/>
      <c r="H36" s="10"/>
      <c r="I36" s="31"/>
      <c r="J36" s="10"/>
    </row>
    <row r="37" spans="1:10" x14ac:dyDescent="0.2">
      <c r="A37" s="1" t="s">
        <v>10</v>
      </c>
      <c r="B37" s="47"/>
      <c r="C37" s="10">
        <v>3435</v>
      </c>
      <c r="D37" s="10">
        <v>2490</v>
      </c>
      <c r="E37" s="10">
        <v>9570</v>
      </c>
      <c r="F37" s="10"/>
      <c r="G37" s="10"/>
      <c r="H37" s="10"/>
      <c r="I37" s="31"/>
      <c r="J37" s="10"/>
    </row>
    <row r="38" spans="1:10" x14ac:dyDescent="0.2">
      <c r="A38" s="1" t="s">
        <v>11</v>
      </c>
      <c r="B38" s="47"/>
      <c r="C38" s="10">
        <v>2967</v>
      </c>
      <c r="D38" s="10">
        <v>2304</v>
      </c>
      <c r="E38" s="10">
        <v>4266</v>
      </c>
      <c r="F38" s="10"/>
      <c r="G38" s="10"/>
      <c r="H38" s="10"/>
      <c r="I38" s="31"/>
      <c r="J38" s="10"/>
    </row>
    <row r="39" spans="1:10" x14ac:dyDescent="0.2">
      <c r="A39" s="1" t="s">
        <v>12</v>
      </c>
      <c r="B39" s="47"/>
      <c r="C39" s="10">
        <v>3436</v>
      </c>
      <c r="D39" s="10">
        <v>2571</v>
      </c>
      <c r="E39" s="10">
        <v>3627</v>
      </c>
      <c r="F39" s="10"/>
      <c r="G39" s="10"/>
      <c r="H39" s="10"/>
      <c r="I39" s="31"/>
      <c r="J39" s="10"/>
    </row>
    <row r="40" spans="1:10" x14ac:dyDescent="0.2">
      <c r="A40" s="1" t="s">
        <v>13</v>
      </c>
      <c r="B40" s="47"/>
      <c r="C40" s="10">
        <v>1747</v>
      </c>
      <c r="D40" s="10">
        <v>2635</v>
      </c>
      <c r="E40" s="10">
        <v>4491</v>
      </c>
      <c r="F40" s="10"/>
      <c r="G40" s="10"/>
      <c r="H40" s="10"/>
      <c r="I40" s="31"/>
      <c r="J40" s="10"/>
    </row>
    <row r="41" spans="1:10" x14ac:dyDescent="0.2">
      <c r="A41" s="1" t="s">
        <v>14</v>
      </c>
      <c r="B41" s="37" t="s">
        <v>89</v>
      </c>
      <c r="C41" s="37">
        <f>SUBTOTAL(109,Tabella5[2023])</f>
        <v>37771</v>
      </c>
      <c r="D41" s="37">
        <f>SUBTOTAL(109,Tabella5[2024])</f>
        <v>26394</v>
      </c>
      <c r="E41" s="37">
        <f>SUBTOTAL(109,Tabella5[2025])</f>
        <v>53025</v>
      </c>
      <c r="F41" s="37">
        <f>SUBTOTAL(109,Tabella5[2026])</f>
        <v>0</v>
      </c>
      <c r="G41" s="37">
        <f>SUBTOTAL(109,Tabella5[2027])</f>
        <v>0</v>
      </c>
      <c r="H41" s="37">
        <f>SUBTOTAL(109,Tabella5[2028])</f>
        <v>0</v>
      </c>
      <c r="I41" s="37">
        <f>SUBTOTAL(109,Tabella5[2029])</f>
        <v>0</v>
      </c>
      <c r="J41" s="37">
        <f>SUBTOTAL(109,Tabella5[2030])</f>
        <v>0</v>
      </c>
    </row>
  </sheetData>
  <mergeCells count="2">
    <mergeCell ref="A1:J1"/>
    <mergeCell ref="A27:B27"/>
  </mergeCells>
  <phoneticPr fontId="19" type="noConversion"/>
  <pageMargins left="0.39370078740157483" right="0.39370078740157483" top="0.98425196850393704" bottom="0.98425196850393704" header="0.51181102362204722" footer="0.51181102362204722"/>
  <pageSetup paperSize="9" scale="83" orientation="landscape" r:id="rId1"/>
  <headerFooter alignWithMargins="0">
    <oddHeader>&amp;C&amp;F</oddHeader>
    <oddFooter>&amp;C&amp;A</oddFooter>
  </headerFooter>
  <rowBreaks count="1" manualBreakCount="1">
    <brk id="27" max="13" man="1"/>
  </rowBreaks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C85B-4089-4F0B-AD8A-6E4AD929FC48}">
  <dimension ref="A1:N17"/>
  <sheetViews>
    <sheetView zoomScaleNormal="100" zoomScaleSheetLayoutView="55" workbookViewId="0">
      <selection activeCell="L9" sqref="L9"/>
    </sheetView>
  </sheetViews>
  <sheetFormatPr defaultColWidth="9.140625" defaultRowHeight="12.75" x14ac:dyDescent="0.2"/>
  <cols>
    <col min="1" max="1" width="9.7109375" style="52" customWidth="1"/>
    <col min="2" max="2" width="14.7109375" style="49" customWidth="1"/>
    <col min="3" max="3" width="14.7109375" style="56" customWidth="1"/>
    <col min="4" max="5" width="14.7109375" style="57" customWidth="1"/>
    <col min="6" max="6" width="14.7109375" style="56" customWidth="1"/>
    <col min="7" max="7" width="15.28515625" style="52" customWidth="1"/>
    <col min="8" max="8" width="14.7109375" style="49" customWidth="1"/>
    <col min="9" max="9" width="16.28515625" style="49" bestFit="1" customWidth="1"/>
    <col min="10" max="10" width="13.7109375" style="51" customWidth="1"/>
    <col min="11" max="11" width="13.5703125" style="49" customWidth="1"/>
    <col min="12" max="12" width="13.7109375" style="51" customWidth="1"/>
    <col min="13" max="13" width="11.140625" style="49" bestFit="1" customWidth="1"/>
    <col min="14" max="14" width="13.85546875" style="51" customWidth="1"/>
    <col min="15" max="15" width="14" style="49" bestFit="1" customWidth="1"/>
    <col min="16" max="16384" width="9.140625" style="49"/>
  </cols>
  <sheetData>
    <row r="1" spans="1:14" ht="25.5" customHeight="1" x14ac:dyDescent="0.2">
      <c r="A1" s="135" t="s">
        <v>23</v>
      </c>
      <c r="B1" s="135"/>
      <c r="C1" s="135"/>
      <c r="D1" s="135"/>
      <c r="E1" s="135"/>
      <c r="F1" s="135"/>
      <c r="G1" s="135"/>
      <c r="H1" s="135"/>
      <c r="I1" s="135"/>
      <c r="J1" s="48"/>
      <c r="K1" s="48"/>
      <c r="L1" s="48"/>
      <c r="M1" s="48"/>
      <c r="N1" s="48"/>
    </row>
    <row r="2" spans="1:14" x14ac:dyDescent="0.2">
      <c r="A2" s="50"/>
      <c r="B2" s="50"/>
      <c r="C2" s="50"/>
      <c r="D2" s="50"/>
      <c r="E2" s="50"/>
      <c r="F2" s="50"/>
      <c r="G2" s="50"/>
      <c r="H2" s="50"/>
    </row>
    <row r="3" spans="1:14" ht="12.75" customHeight="1" x14ac:dyDescent="0.2">
      <c r="B3" s="136" t="s">
        <v>91</v>
      </c>
      <c r="C3" s="136"/>
      <c r="D3" s="136"/>
      <c r="E3" s="54"/>
      <c r="F3" s="55"/>
      <c r="G3" s="55"/>
      <c r="H3" s="55"/>
      <c r="I3" s="55"/>
      <c r="J3" s="49"/>
      <c r="L3" s="49"/>
      <c r="N3" s="49"/>
    </row>
    <row r="4" spans="1:14" ht="25.5" customHeight="1" x14ac:dyDescent="0.2">
      <c r="A4" s="50"/>
      <c r="B4" s="56" t="s">
        <v>84</v>
      </c>
      <c r="C4" s="53" t="s">
        <v>71</v>
      </c>
      <c r="D4" s="53" t="s">
        <v>52</v>
      </c>
      <c r="E4" s="53" t="s">
        <v>53</v>
      </c>
      <c r="F4" s="53" t="s">
        <v>54</v>
      </c>
      <c r="G4" s="53" t="s">
        <v>55</v>
      </c>
      <c r="H4" s="53" t="s">
        <v>56</v>
      </c>
      <c r="I4" s="53" t="s">
        <v>57</v>
      </c>
      <c r="J4" s="53" t="s">
        <v>58</v>
      </c>
      <c r="K4" s="53" t="s">
        <v>59</v>
      </c>
      <c r="L4" s="49"/>
      <c r="N4" s="49"/>
    </row>
    <row r="5" spans="1:14" x14ac:dyDescent="0.2">
      <c r="B5" s="56" t="s">
        <v>2</v>
      </c>
      <c r="C5" s="57">
        <v>157058</v>
      </c>
      <c r="D5" s="58">
        <v>182953</v>
      </c>
      <c r="E5" s="58">
        <v>178624</v>
      </c>
      <c r="F5" s="126">
        <v>216673</v>
      </c>
      <c r="G5" s="57"/>
      <c r="H5" s="59"/>
      <c r="I5" s="59"/>
      <c r="J5" s="56"/>
      <c r="K5" s="56"/>
      <c r="L5" s="49"/>
      <c r="N5" s="49"/>
    </row>
    <row r="6" spans="1:14" x14ac:dyDescent="0.2">
      <c r="B6" s="56" t="s">
        <v>3</v>
      </c>
      <c r="C6" s="57">
        <v>145657</v>
      </c>
      <c r="D6" s="58">
        <v>195696</v>
      </c>
      <c r="E6" s="58">
        <v>174628</v>
      </c>
      <c r="F6" s="126">
        <v>181874</v>
      </c>
      <c r="G6" s="57"/>
      <c r="H6" s="59"/>
      <c r="I6" s="59"/>
      <c r="J6" s="56"/>
      <c r="K6" s="56"/>
      <c r="L6" s="49"/>
      <c r="N6" s="49"/>
    </row>
    <row r="7" spans="1:14" x14ac:dyDescent="0.2">
      <c r="B7" s="56" t="s">
        <v>4</v>
      </c>
      <c r="C7" s="57">
        <v>170297</v>
      </c>
      <c r="D7" s="58">
        <v>217000</v>
      </c>
      <c r="E7" s="58">
        <v>157458</v>
      </c>
      <c r="F7" s="126">
        <v>196435</v>
      </c>
      <c r="G7" s="57"/>
      <c r="H7" s="59"/>
      <c r="I7" s="59"/>
      <c r="J7" s="56"/>
      <c r="K7" s="56"/>
      <c r="L7" s="49"/>
      <c r="N7" s="49"/>
    </row>
    <row r="8" spans="1:14" x14ac:dyDescent="0.2">
      <c r="B8" s="56" t="s">
        <v>5</v>
      </c>
      <c r="C8" s="60">
        <v>146283</v>
      </c>
      <c r="D8" s="58">
        <v>137586</v>
      </c>
      <c r="E8" s="58">
        <v>133214</v>
      </c>
      <c r="F8" s="126">
        <v>154224</v>
      </c>
      <c r="G8" s="57"/>
      <c r="H8" s="59"/>
      <c r="I8" s="59"/>
      <c r="J8" s="56"/>
      <c r="K8" s="56"/>
      <c r="L8" s="49"/>
      <c r="N8" s="49"/>
    </row>
    <row r="9" spans="1:14" x14ac:dyDescent="0.2">
      <c r="B9" s="56" t="s">
        <v>6</v>
      </c>
      <c r="C9" s="57">
        <v>165039</v>
      </c>
      <c r="D9" s="58">
        <v>174801</v>
      </c>
      <c r="E9" s="58">
        <v>138597</v>
      </c>
      <c r="F9" s="126">
        <v>151374</v>
      </c>
      <c r="G9" s="57"/>
      <c r="H9" s="59"/>
      <c r="I9" s="59"/>
      <c r="J9" s="56"/>
      <c r="K9" s="56"/>
      <c r="L9" s="49"/>
      <c r="N9" s="49"/>
    </row>
    <row r="10" spans="1:14" x14ac:dyDescent="0.2">
      <c r="B10" s="56" t="s">
        <v>7</v>
      </c>
      <c r="C10" s="57">
        <v>186771</v>
      </c>
      <c r="D10" s="58">
        <v>179943</v>
      </c>
      <c r="E10" s="58">
        <v>163404</v>
      </c>
      <c r="F10" s="126">
        <v>161155</v>
      </c>
      <c r="G10" s="57"/>
      <c r="H10" s="59"/>
      <c r="I10" s="59"/>
      <c r="J10" s="56"/>
      <c r="K10" s="56"/>
      <c r="L10" s="49"/>
      <c r="N10" s="49"/>
    </row>
    <row r="11" spans="1:14" x14ac:dyDescent="0.2">
      <c r="B11" s="56" t="s">
        <v>8</v>
      </c>
      <c r="C11" s="57">
        <v>157747</v>
      </c>
      <c r="D11" s="58">
        <v>136562</v>
      </c>
      <c r="E11" s="58">
        <v>165092</v>
      </c>
      <c r="F11" s="126">
        <v>176201</v>
      </c>
      <c r="G11" s="57"/>
      <c r="H11" s="59"/>
      <c r="I11" s="59"/>
      <c r="J11" s="56"/>
      <c r="K11" s="56"/>
      <c r="L11" s="49"/>
      <c r="N11" s="49"/>
    </row>
    <row r="12" spans="1:14" x14ac:dyDescent="0.2">
      <c r="B12" s="56" t="s">
        <v>9</v>
      </c>
      <c r="C12" s="57">
        <v>51126</v>
      </c>
      <c r="D12" s="58">
        <v>52282</v>
      </c>
      <c r="E12" s="58">
        <v>51223</v>
      </c>
      <c r="F12" s="126">
        <v>60994</v>
      </c>
      <c r="G12" s="57"/>
      <c r="H12" s="59"/>
      <c r="I12" s="59"/>
      <c r="J12" s="56"/>
      <c r="K12" s="56"/>
      <c r="L12" s="49"/>
      <c r="N12" s="49"/>
    </row>
    <row r="13" spans="1:14" x14ac:dyDescent="0.2">
      <c r="B13" s="56" t="s">
        <v>10</v>
      </c>
      <c r="C13" s="57">
        <v>236569</v>
      </c>
      <c r="D13" s="58">
        <v>206446</v>
      </c>
      <c r="E13" s="58">
        <v>199172</v>
      </c>
      <c r="F13" s="126">
        <v>208402</v>
      </c>
      <c r="G13" s="57"/>
      <c r="H13" s="59"/>
      <c r="I13" s="59"/>
      <c r="J13" s="56"/>
      <c r="K13" s="40"/>
      <c r="L13" s="49"/>
      <c r="N13" s="49"/>
    </row>
    <row r="14" spans="1:14" x14ac:dyDescent="0.2">
      <c r="B14" s="56" t="s">
        <v>11</v>
      </c>
      <c r="C14" s="57">
        <v>175378</v>
      </c>
      <c r="D14" s="58">
        <v>151561</v>
      </c>
      <c r="E14" s="58">
        <v>227792</v>
      </c>
      <c r="F14" s="126">
        <v>221607</v>
      </c>
      <c r="G14" s="57"/>
      <c r="H14" s="59"/>
      <c r="I14" s="59"/>
      <c r="J14" s="56"/>
      <c r="K14" s="40"/>
      <c r="L14" s="49"/>
      <c r="N14" s="49"/>
    </row>
    <row r="15" spans="1:14" x14ac:dyDescent="0.2">
      <c r="B15" s="56" t="s">
        <v>12</v>
      </c>
      <c r="C15" s="57">
        <v>177589</v>
      </c>
      <c r="D15" s="58">
        <v>146475</v>
      </c>
      <c r="E15" s="58">
        <v>178659</v>
      </c>
      <c r="F15" s="126">
        <v>197699</v>
      </c>
      <c r="G15" s="57"/>
      <c r="H15" s="59"/>
      <c r="I15" s="59"/>
      <c r="J15" s="56"/>
      <c r="K15" s="40"/>
      <c r="L15" s="49"/>
      <c r="N15" s="49"/>
    </row>
    <row r="16" spans="1:14" x14ac:dyDescent="0.2">
      <c r="B16" s="56" t="s">
        <v>13</v>
      </c>
      <c r="C16" s="57">
        <v>144405</v>
      </c>
      <c r="D16" s="58">
        <v>151357</v>
      </c>
      <c r="E16" s="58">
        <v>136711</v>
      </c>
      <c r="F16" s="126">
        <v>137683</v>
      </c>
      <c r="G16" s="57"/>
      <c r="H16" s="59"/>
      <c r="I16" s="59"/>
      <c r="J16" s="56"/>
      <c r="K16" s="40"/>
      <c r="L16" s="49"/>
      <c r="N16" s="49"/>
    </row>
    <row r="17" spans="2:11" x14ac:dyDescent="0.2">
      <c r="B17" s="24" t="s">
        <v>14</v>
      </c>
      <c r="C17" s="31">
        <f>SUBTOTAL(109,Tabella119[2022])</f>
        <v>1913919</v>
      </c>
      <c r="D17" s="74">
        <f>SUM(D5:D16)</f>
        <v>1932662</v>
      </c>
      <c r="E17" s="74">
        <f>SUM(E5:E16)</f>
        <v>1904574</v>
      </c>
      <c r="F17" s="74">
        <f>SUM(F5:F16)</f>
        <v>2064321</v>
      </c>
      <c r="G17" s="73"/>
      <c r="H17" s="73"/>
      <c r="I17" s="73"/>
      <c r="J17" s="73"/>
      <c r="K17" s="73"/>
    </row>
  </sheetData>
  <mergeCells count="2">
    <mergeCell ref="A1:I1"/>
    <mergeCell ref="B3:D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3" orientation="portrait" r:id="rId1"/>
  <headerFooter alignWithMargins="0">
    <oddHeader>&amp;C&amp;F</oddHeader>
    <oddFooter>&amp;C&amp;A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F09E-9592-4535-804C-2B35D719CCDD}">
  <dimension ref="A1:N56"/>
  <sheetViews>
    <sheetView zoomScaleNormal="100" zoomScaleSheetLayoutView="55" workbookViewId="0">
      <selection activeCell="E59" sqref="E59"/>
    </sheetView>
  </sheetViews>
  <sheetFormatPr defaultColWidth="9.140625" defaultRowHeight="12.75" x14ac:dyDescent="0.2"/>
  <cols>
    <col min="1" max="1" width="9.7109375" style="52" customWidth="1"/>
    <col min="2" max="2" width="14.7109375" style="49" customWidth="1"/>
    <col min="3" max="3" width="14.7109375" style="56" customWidth="1"/>
    <col min="4" max="5" width="14.7109375" style="57" customWidth="1"/>
    <col min="6" max="6" width="14.7109375" style="56" customWidth="1"/>
    <col min="7" max="7" width="15.28515625" style="52" customWidth="1"/>
    <col min="8" max="8" width="14.7109375" style="49" customWidth="1"/>
    <col min="9" max="9" width="16.28515625" style="49" bestFit="1" customWidth="1"/>
    <col min="10" max="10" width="13.7109375" style="51" customWidth="1"/>
    <col min="11" max="11" width="13.5703125" style="49" customWidth="1"/>
    <col min="12" max="12" width="13.7109375" style="51" customWidth="1"/>
    <col min="13" max="13" width="11.140625" style="49" bestFit="1" customWidth="1"/>
    <col min="14" max="14" width="13.85546875" style="51" customWidth="1"/>
    <col min="15" max="15" width="14" style="49" bestFit="1" customWidth="1"/>
    <col min="16" max="16384" width="9.140625" style="49"/>
  </cols>
  <sheetData>
    <row r="1" spans="1:14" ht="25.5" customHeight="1" x14ac:dyDescent="0.2">
      <c r="A1" s="135" t="s">
        <v>140</v>
      </c>
      <c r="B1" s="135"/>
      <c r="C1" s="135"/>
      <c r="D1" s="135"/>
      <c r="E1" s="135"/>
      <c r="F1" s="135"/>
      <c r="G1" s="135"/>
      <c r="H1" s="135"/>
      <c r="I1" s="135"/>
      <c r="J1" s="48"/>
      <c r="K1" s="48"/>
      <c r="L1" s="48"/>
      <c r="M1" s="48"/>
      <c r="N1" s="48"/>
    </row>
    <row r="3" spans="1:14" ht="15" x14ac:dyDescent="0.25">
      <c r="B3" s="116" t="s">
        <v>153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ht="17.25" x14ac:dyDescent="0.2">
      <c r="B4" s="56" t="s">
        <v>154</v>
      </c>
      <c r="C4" s="53" t="s">
        <v>71</v>
      </c>
      <c r="D4" s="61" t="s">
        <v>52</v>
      </c>
      <c r="E4" s="61" t="s">
        <v>53</v>
      </c>
      <c r="F4" s="56" t="s">
        <v>54</v>
      </c>
      <c r="G4" s="53" t="s">
        <v>55</v>
      </c>
      <c r="H4" s="61" t="s">
        <v>56</v>
      </c>
      <c r="L4" s="49"/>
      <c r="N4" s="49"/>
    </row>
    <row r="5" spans="1:14" x14ac:dyDescent="0.2">
      <c r="B5" s="56" t="s">
        <v>141</v>
      </c>
      <c r="C5" s="57">
        <v>64635</v>
      </c>
      <c r="D5" s="57">
        <v>77318</v>
      </c>
      <c r="E5" s="57">
        <v>79585</v>
      </c>
      <c r="F5" s="126">
        <v>92793</v>
      </c>
      <c r="G5" s="57"/>
      <c r="H5" s="59"/>
      <c r="L5" s="49"/>
      <c r="N5" s="49"/>
    </row>
    <row r="6" spans="1:14" x14ac:dyDescent="0.2">
      <c r="B6" s="56" t="s">
        <v>142</v>
      </c>
      <c r="C6" s="57">
        <v>64195</v>
      </c>
      <c r="D6" s="57">
        <v>83772</v>
      </c>
      <c r="E6" s="57">
        <v>64380</v>
      </c>
      <c r="F6" s="126">
        <v>76371</v>
      </c>
      <c r="G6" s="57"/>
      <c r="H6" s="59"/>
      <c r="L6" s="49"/>
      <c r="N6" s="49"/>
    </row>
    <row r="7" spans="1:14" x14ac:dyDescent="0.2">
      <c r="B7" s="56" t="s">
        <v>143</v>
      </c>
      <c r="C7" s="57">
        <v>76953</v>
      </c>
      <c r="D7" s="57">
        <v>85988</v>
      </c>
      <c r="E7" s="57">
        <v>65632</v>
      </c>
      <c r="F7" s="126">
        <v>85453</v>
      </c>
      <c r="G7" s="57"/>
      <c r="H7" s="59"/>
      <c r="L7" s="49"/>
      <c r="N7" s="49"/>
    </row>
    <row r="8" spans="1:14" x14ac:dyDescent="0.2">
      <c r="B8" s="56" t="s">
        <v>144</v>
      </c>
      <c r="C8" s="60">
        <v>67022</v>
      </c>
      <c r="D8" s="57">
        <v>55287</v>
      </c>
      <c r="E8" s="57">
        <v>60632</v>
      </c>
      <c r="F8" s="126">
        <v>58775</v>
      </c>
      <c r="G8" s="60"/>
      <c r="H8" s="59"/>
      <c r="L8" s="49"/>
      <c r="N8" s="49"/>
    </row>
    <row r="9" spans="1:14" x14ac:dyDescent="0.2">
      <c r="B9" s="56" t="s">
        <v>145</v>
      </c>
      <c r="C9" s="57">
        <v>72107</v>
      </c>
      <c r="D9" s="57">
        <v>70798</v>
      </c>
      <c r="E9" s="57">
        <v>57694</v>
      </c>
      <c r="F9" s="126">
        <v>58074</v>
      </c>
      <c r="G9" s="57"/>
      <c r="H9" s="59"/>
      <c r="L9" s="49"/>
      <c r="N9" s="49"/>
    </row>
    <row r="10" spans="1:14" x14ac:dyDescent="0.2">
      <c r="B10" s="56" t="s">
        <v>146</v>
      </c>
      <c r="C10" s="57">
        <v>72575</v>
      </c>
      <c r="D10" s="57">
        <v>69037</v>
      </c>
      <c r="E10" s="57">
        <v>67038</v>
      </c>
      <c r="F10" s="126">
        <v>59341</v>
      </c>
      <c r="G10" s="57"/>
      <c r="H10" s="59"/>
      <c r="L10" s="49"/>
      <c r="N10" s="49"/>
    </row>
    <row r="11" spans="1:14" x14ac:dyDescent="0.2">
      <c r="B11" s="56" t="s">
        <v>147</v>
      </c>
      <c r="C11" s="57">
        <v>56705</v>
      </c>
      <c r="D11" s="57">
        <v>46577</v>
      </c>
      <c r="E11" s="57">
        <v>58849</v>
      </c>
      <c r="F11" s="126">
        <v>56141</v>
      </c>
      <c r="G11" s="57"/>
      <c r="H11" s="59"/>
      <c r="L11" s="49"/>
      <c r="N11" s="49"/>
    </row>
    <row r="12" spans="1:14" x14ac:dyDescent="0.2">
      <c r="B12" s="56" t="s">
        <v>148</v>
      </c>
      <c r="C12" s="57">
        <v>14871</v>
      </c>
      <c r="D12" s="57">
        <v>15702</v>
      </c>
      <c r="E12" s="57">
        <v>13046</v>
      </c>
      <c r="F12" s="126">
        <v>16032</v>
      </c>
      <c r="G12" s="57"/>
      <c r="H12" s="59"/>
      <c r="L12" s="49"/>
      <c r="N12" s="49"/>
    </row>
    <row r="13" spans="1:14" x14ac:dyDescent="0.2">
      <c r="B13" s="56" t="s">
        <v>149</v>
      </c>
      <c r="C13" s="57">
        <v>97518</v>
      </c>
      <c r="D13" s="57">
        <v>80432</v>
      </c>
      <c r="E13" s="57">
        <v>80224</v>
      </c>
      <c r="F13" s="126">
        <v>73247</v>
      </c>
      <c r="G13" s="57"/>
      <c r="H13" s="59"/>
      <c r="L13" s="49"/>
      <c r="N13" s="49"/>
    </row>
    <row r="14" spans="1:14" x14ac:dyDescent="0.2">
      <c r="B14" s="56" t="s">
        <v>150</v>
      </c>
      <c r="C14" s="57">
        <v>78929</v>
      </c>
      <c r="D14" s="57">
        <v>76343</v>
      </c>
      <c r="E14" s="57">
        <v>95928</v>
      </c>
      <c r="F14" s="126">
        <v>83334</v>
      </c>
      <c r="G14" s="57"/>
      <c r="H14" s="59"/>
      <c r="L14" s="49"/>
      <c r="N14" s="49"/>
    </row>
    <row r="15" spans="1:14" x14ac:dyDescent="0.2">
      <c r="B15" s="56" t="s">
        <v>151</v>
      </c>
      <c r="C15" s="57">
        <v>82182</v>
      </c>
      <c r="D15" s="57">
        <v>91127</v>
      </c>
      <c r="E15" s="57">
        <v>78220</v>
      </c>
      <c r="F15" s="126">
        <v>77053</v>
      </c>
      <c r="G15" s="57"/>
      <c r="H15" s="59"/>
      <c r="L15" s="49"/>
      <c r="N15" s="49"/>
    </row>
    <row r="16" spans="1:14" x14ac:dyDescent="0.2">
      <c r="B16" s="56" t="s">
        <v>152</v>
      </c>
      <c r="C16" s="57">
        <v>57235</v>
      </c>
      <c r="D16" s="57">
        <v>37101</v>
      </c>
      <c r="E16" s="57">
        <v>60072</v>
      </c>
      <c r="F16" s="126">
        <v>52131</v>
      </c>
      <c r="G16" s="57"/>
      <c r="H16" s="59"/>
      <c r="L16" s="49"/>
      <c r="N16" s="49"/>
    </row>
    <row r="17" spans="2:14" x14ac:dyDescent="0.2">
      <c r="B17" s="24" t="s">
        <v>14</v>
      </c>
      <c r="C17" s="31">
        <f>SUBTOTAL(109,Tab_Metano[2022])</f>
        <v>804927</v>
      </c>
      <c r="D17" s="31">
        <f>SUBTOTAL(109,Tab_Metano[2023])</f>
        <v>789482</v>
      </c>
      <c r="E17" s="31">
        <f>SUBTOTAL(109,Tab_Metano[2024])</f>
        <v>781300</v>
      </c>
      <c r="F17" s="127">
        <f>SUBTOTAL(109,Tab_Metano[2025])</f>
        <v>788745</v>
      </c>
      <c r="G17" s="31">
        <f>SUBTOTAL(109,Tab_Metano[2026])</f>
        <v>0</v>
      </c>
      <c r="H17" s="122">
        <f>SUBTOTAL(109,Tab_Metano[2027])</f>
        <v>0</v>
      </c>
      <c r="L17" s="49"/>
      <c r="N17" s="49"/>
    </row>
    <row r="20" spans="2:14" ht="15" x14ac:dyDescent="0.25">
      <c r="B20" s="116" t="s">
        <v>155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</row>
    <row r="21" spans="2:14" ht="15" x14ac:dyDescent="0.25">
      <c r="B21" s="119" t="s">
        <v>156</v>
      </c>
      <c r="C21" s="120" t="s">
        <v>71</v>
      </c>
      <c r="D21" s="120" t="s">
        <v>52</v>
      </c>
      <c r="E21" s="120" t="s">
        <v>53</v>
      </c>
      <c r="F21" s="120" t="s">
        <v>54</v>
      </c>
      <c r="G21" s="120" t="s">
        <v>55</v>
      </c>
      <c r="H21" s="120" t="s">
        <v>56</v>
      </c>
      <c r="L21" s="49"/>
      <c r="N21" s="49"/>
    </row>
    <row r="22" spans="2:14" ht="17.25" x14ac:dyDescent="0.25">
      <c r="B22" s="118" t="s">
        <v>157</v>
      </c>
      <c r="C22" s="118">
        <v>35.337000000000003</v>
      </c>
      <c r="D22" s="118">
        <v>35.457000000000001</v>
      </c>
      <c r="E22" s="118">
        <v>35.584000000000003</v>
      </c>
      <c r="F22" s="118">
        <v>35.667000000000002</v>
      </c>
      <c r="G22" s="121"/>
      <c r="H22" s="121"/>
      <c r="L22" s="49"/>
      <c r="N22" s="49"/>
    </row>
    <row r="25" spans="2:14" ht="15" x14ac:dyDescent="0.25">
      <c r="B25" s="116" t="s">
        <v>153</v>
      </c>
      <c r="C25" s="117"/>
      <c r="D25" s="117"/>
      <c r="E25" s="117"/>
      <c r="F25" s="117"/>
      <c r="G25" s="117"/>
      <c r="H25" s="117"/>
    </row>
    <row r="26" spans="2:14" x14ac:dyDescent="0.2">
      <c r="B26" s="56" t="s">
        <v>159</v>
      </c>
      <c r="C26" s="53" t="s">
        <v>71</v>
      </c>
      <c r="D26" s="61" t="s">
        <v>52</v>
      </c>
      <c r="E26" s="61" t="s">
        <v>53</v>
      </c>
      <c r="F26" s="56" t="s">
        <v>54</v>
      </c>
      <c r="G26" s="53" t="s">
        <v>55</v>
      </c>
      <c r="H26" s="61" t="s">
        <v>56</v>
      </c>
    </row>
    <row r="27" spans="2:14" x14ac:dyDescent="0.2">
      <c r="B27" s="56" t="s">
        <v>141</v>
      </c>
      <c r="C27" s="57">
        <f>C5/1000*$C$22</f>
        <v>2284.0069950000002</v>
      </c>
      <c r="D27" s="57">
        <f t="shared" ref="D27:D38" si="0">D5/1000*$D$22</f>
        <v>2741.4643259999998</v>
      </c>
      <c r="E27" s="57">
        <f>E5/1000*$E$22</f>
        <v>2831.95264</v>
      </c>
      <c r="F27" s="57">
        <f>F5/1000*$F$22</f>
        <v>3309.6479310000004</v>
      </c>
      <c r="G27" s="57"/>
      <c r="H27" s="59"/>
    </row>
    <row r="28" spans="2:14" x14ac:dyDescent="0.2">
      <c r="B28" s="56" t="s">
        <v>142</v>
      </c>
      <c r="C28" s="57">
        <f t="shared" ref="C28:C38" si="1">C6/1000*$C$22</f>
        <v>2268.4587149999998</v>
      </c>
      <c r="D28" s="57">
        <f t="shared" si="0"/>
        <v>2970.3038040000001</v>
      </c>
      <c r="E28" s="57">
        <f t="shared" ref="E28:E38" si="2">E6/1000*$E$22</f>
        <v>2290.8979199999999</v>
      </c>
      <c r="F28" s="57">
        <f t="shared" ref="F28:F38" si="3">F6/1000*$F$22</f>
        <v>2723.9244570000001</v>
      </c>
      <c r="G28" s="57"/>
      <c r="H28" s="59"/>
    </row>
    <row r="29" spans="2:14" x14ac:dyDescent="0.2">
      <c r="B29" s="56" t="s">
        <v>143</v>
      </c>
      <c r="C29" s="57">
        <f t="shared" si="1"/>
        <v>2719.2881610000004</v>
      </c>
      <c r="D29" s="57">
        <f t="shared" si="0"/>
        <v>3048.8765160000003</v>
      </c>
      <c r="E29" s="57">
        <f t="shared" si="2"/>
        <v>2335.4490880000003</v>
      </c>
      <c r="F29" s="57">
        <f t="shared" si="3"/>
        <v>3047.852151</v>
      </c>
      <c r="G29" s="57"/>
      <c r="H29" s="59"/>
    </row>
    <row r="30" spans="2:14" x14ac:dyDescent="0.2">
      <c r="B30" s="56" t="s">
        <v>144</v>
      </c>
      <c r="C30" s="60">
        <f t="shared" si="1"/>
        <v>2368.3564140000003</v>
      </c>
      <c r="D30" s="57">
        <f t="shared" si="0"/>
        <v>1960.3111590000001</v>
      </c>
      <c r="E30" s="57">
        <f t="shared" si="2"/>
        <v>2157.5290880000002</v>
      </c>
      <c r="F30" s="57">
        <f t="shared" si="3"/>
        <v>2096.3279250000001</v>
      </c>
      <c r="G30" s="60"/>
      <c r="H30" s="59"/>
    </row>
    <row r="31" spans="2:14" x14ac:dyDescent="0.2">
      <c r="B31" s="56" t="s">
        <v>145</v>
      </c>
      <c r="C31" s="57">
        <f t="shared" si="1"/>
        <v>2548.045059</v>
      </c>
      <c r="D31" s="57">
        <f t="shared" si="0"/>
        <v>2510.284686</v>
      </c>
      <c r="E31" s="57">
        <f t="shared" si="2"/>
        <v>2052.9832960000003</v>
      </c>
      <c r="F31" s="57">
        <f t="shared" si="3"/>
        <v>2071.3253580000001</v>
      </c>
      <c r="G31" s="57"/>
      <c r="H31" s="59"/>
    </row>
    <row r="32" spans="2:14" x14ac:dyDescent="0.2">
      <c r="B32" s="56" t="s">
        <v>146</v>
      </c>
      <c r="C32" s="57">
        <f t="shared" si="1"/>
        <v>2564.5827750000003</v>
      </c>
      <c r="D32" s="57">
        <f t="shared" si="0"/>
        <v>2447.8449090000004</v>
      </c>
      <c r="E32" s="57">
        <f t="shared" si="2"/>
        <v>2385.480192</v>
      </c>
      <c r="F32" s="57">
        <f t="shared" si="3"/>
        <v>2116.5154470000002</v>
      </c>
      <c r="G32" s="57"/>
      <c r="H32" s="59"/>
    </row>
    <row r="33" spans="2:8" x14ac:dyDescent="0.2">
      <c r="B33" s="56" t="s">
        <v>147</v>
      </c>
      <c r="C33" s="57">
        <f t="shared" si="1"/>
        <v>2003.7845850000001</v>
      </c>
      <c r="D33" s="57">
        <f t="shared" si="0"/>
        <v>1651.480689</v>
      </c>
      <c r="E33" s="57">
        <f t="shared" si="2"/>
        <v>2094.0828160000001</v>
      </c>
      <c r="F33" s="57">
        <f t="shared" si="3"/>
        <v>2002.3810470000001</v>
      </c>
      <c r="G33" s="57"/>
      <c r="H33" s="59"/>
    </row>
    <row r="34" spans="2:8" x14ac:dyDescent="0.2">
      <c r="B34" s="56" t="s">
        <v>148</v>
      </c>
      <c r="C34" s="57">
        <f t="shared" si="1"/>
        <v>525.49652700000001</v>
      </c>
      <c r="D34" s="57">
        <f t="shared" si="0"/>
        <v>556.745814</v>
      </c>
      <c r="E34" s="57">
        <f t="shared" si="2"/>
        <v>464.22886400000004</v>
      </c>
      <c r="F34" s="57">
        <f t="shared" si="3"/>
        <v>571.81334400000003</v>
      </c>
      <c r="G34" s="57"/>
      <c r="H34" s="59"/>
    </row>
    <row r="35" spans="2:8" x14ac:dyDescent="0.2">
      <c r="B35" s="56" t="s">
        <v>149</v>
      </c>
      <c r="C35" s="57">
        <f t="shared" si="1"/>
        <v>3445.9935660000006</v>
      </c>
      <c r="D35" s="57">
        <f t="shared" si="0"/>
        <v>2851.8774240000002</v>
      </c>
      <c r="E35" s="57">
        <f t="shared" si="2"/>
        <v>2854.6908160000003</v>
      </c>
      <c r="F35" s="57">
        <f t="shared" si="3"/>
        <v>2612.5007490000003</v>
      </c>
      <c r="G35" s="57"/>
      <c r="H35" s="59"/>
    </row>
    <row r="36" spans="2:8" x14ac:dyDescent="0.2">
      <c r="B36" s="56" t="s">
        <v>150</v>
      </c>
      <c r="C36" s="57">
        <f t="shared" si="1"/>
        <v>2789.1140730000002</v>
      </c>
      <c r="D36" s="57">
        <f t="shared" si="0"/>
        <v>2706.8937510000001</v>
      </c>
      <c r="E36" s="57">
        <f t="shared" si="2"/>
        <v>3413.5019520000001</v>
      </c>
      <c r="F36" s="57">
        <f t="shared" si="3"/>
        <v>2972.2737780000002</v>
      </c>
      <c r="G36" s="57"/>
      <c r="H36" s="59"/>
    </row>
    <row r="37" spans="2:8" x14ac:dyDescent="0.2">
      <c r="B37" s="56" t="s">
        <v>151</v>
      </c>
      <c r="C37" s="57">
        <f t="shared" si="1"/>
        <v>2904.0653340000003</v>
      </c>
      <c r="D37" s="57">
        <f t="shared" si="0"/>
        <v>3231.0900389999997</v>
      </c>
      <c r="E37" s="57">
        <f t="shared" si="2"/>
        <v>2783.3804800000003</v>
      </c>
      <c r="F37" s="57">
        <f t="shared" si="3"/>
        <v>2748.2493509999999</v>
      </c>
      <c r="G37" s="57"/>
      <c r="H37" s="59"/>
    </row>
    <row r="38" spans="2:8" x14ac:dyDescent="0.2">
      <c r="B38" s="56" t="s">
        <v>152</v>
      </c>
      <c r="C38" s="57">
        <f t="shared" si="1"/>
        <v>2022.5131950000002</v>
      </c>
      <c r="D38" s="57">
        <f t="shared" si="0"/>
        <v>1315.490157</v>
      </c>
      <c r="E38" s="57">
        <f t="shared" si="2"/>
        <v>2137.6020480000002</v>
      </c>
      <c r="F38" s="57">
        <f t="shared" si="3"/>
        <v>1859.3563770000001</v>
      </c>
      <c r="G38" s="57"/>
      <c r="H38" s="59"/>
    </row>
    <row r="39" spans="2:8" x14ac:dyDescent="0.2">
      <c r="B39" s="24" t="s">
        <v>14</v>
      </c>
      <c r="C39" s="31">
        <f>SUBTOTAL(109,Tab_Metano30[2022])</f>
        <v>28443.705399000002</v>
      </c>
      <c r="D39" s="31">
        <f>SUBTOTAL(109,Tab_Metano30[2023])</f>
        <v>27992.663273999999</v>
      </c>
      <c r="E39" s="31">
        <f>SUBTOTAL(109,Tab_Metano30[2024])</f>
        <v>27801.779199999997</v>
      </c>
      <c r="F39" s="31">
        <f>SUBTOTAL(109,Tab_Metano30[2025])</f>
        <v>28132.167914999995</v>
      </c>
      <c r="G39" s="31">
        <f>SUBTOTAL(109,Tab_Metano30[2026])</f>
        <v>0</v>
      </c>
      <c r="H39" s="122">
        <f>SUBTOTAL(109,Tab_Metano30[2027])</f>
        <v>0</v>
      </c>
    </row>
    <row r="42" spans="2:8" ht="15" x14ac:dyDescent="0.25">
      <c r="B42" s="116" t="s">
        <v>153</v>
      </c>
      <c r="C42" s="117"/>
      <c r="D42" s="117"/>
      <c r="E42" s="117"/>
      <c r="F42" s="117"/>
      <c r="G42" s="117"/>
      <c r="H42" s="117"/>
    </row>
    <row r="43" spans="2:8" x14ac:dyDescent="0.2">
      <c r="B43" s="56" t="s">
        <v>158</v>
      </c>
      <c r="C43" s="53" t="s">
        <v>71</v>
      </c>
      <c r="D43" s="61" t="s">
        <v>52</v>
      </c>
      <c r="E43" s="61" t="s">
        <v>53</v>
      </c>
      <c r="F43" s="56" t="s">
        <v>54</v>
      </c>
      <c r="G43" s="53" t="s">
        <v>55</v>
      </c>
      <c r="H43" s="61" t="s">
        <v>56</v>
      </c>
    </row>
    <row r="44" spans="2:8" x14ac:dyDescent="0.2">
      <c r="B44" s="56" t="s">
        <v>141</v>
      </c>
      <c r="C44" s="57">
        <f t="shared" ref="C44:C55" si="4">C27*277.78</f>
        <v>634451.46307109995</v>
      </c>
      <c r="D44" s="57">
        <f t="shared" ref="D44:D55" si="5">D27*277.78</f>
        <v>761523.96047627984</v>
      </c>
      <c r="E44" s="57">
        <f>E27*277.78</f>
        <v>786659.80433919991</v>
      </c>
      <c r="F44" s="57">
        <f t="shared" ref="F44:F55" si="6">F27*277.78</f>
        <v>919354.00227318006</v>
      </c>
      <c r="G44" s="57"/>
      <c r="H44" s="59"/>
    </row>
    <row r="45" spans="2:8" x14ac:dyDescent="0.2">
      <c r="B45" s="56" t="s">
        <v>142</v>
      </c>
      <c r="C45" s="57">
        <f t="shared" si="4"/>
        <v>630132.46185269987</v>
      </c>
      <c r="D45" s="57">
        <f t="shared" si="5"/>
        <v>825090.99067511992</v>
      </c>
      <c r="E45" s="57">
        <f t="shared" ref="E45:E55" si="7">E28*277.78</f>
        <v>636365.62421759986</v>
      </c>
      <c r="F45" s="57">
        <f t="shared" si="6"/>
        <v>756651.73566546</v>
      </c>
      <c r="G45" s="57"/>
      <c r="H45" s="59"/>
    </row>
    <row r="46" spans="2:8" x14ac:dyDescent="0.2">
      <c r="B46" s="56" t="s">
        <v>143</v>
      </c>
      <c r="C46" s="57">
        <f t="shared" si="4"/>
        <v>755363.86536258005</v>
      </c>
      <c r="D46" s="57">
        <f t="shared" si="5"/>
        <v>846916.91861447995</v>
      </c>
      <c r="E46" s="57">
        <f t="shared" si="7"/>
        <v>648741.04766464001</v>
      </c>
      <c r="F46" s="57">
        <f t="shared" si="6"/>
        <v>846632.37050477997</v>
      </c>
      <c r="G46" s="57"/>
      <c r="H46" s="59"/>
    </row>
    <row r="47" spans="2:8" x14ac:dyDescent="0.2">
      <c r="B47" s="56" t="s">
        <v>144</v>
      </c>
      <c r="C47" s="60">
        <f t="shared" si="4"/>
        <v>657882.04468092008</v>
      </c>
      <c r="D47" s="57">
        <f t="shared" si="5"/>
        <v>544535.23374702001</v>
      </c>
      <c r="E47" s="57">
        <f t="shared" si="7"/>
        <v>599318.43006464001</v>
      </c>
      <c r="F47" s="57">
        <f t="shared" si="6"/>
        <v>582317.97100649995</v>
      </c>
      <c r="G47" s="60"/>
      <c r="H47" s="59"/>
    </row>
    <row r="48" spans="2:8" x14ac:dyDescent="0.2">
      <c r="B48" s="56" t="s">
        <v>145</v>
      </c>
      <c r="C48" s="57">
        <f t="shared" si="4"/>
        <v>707795.95648901991</v>
      </c>
      <c r="D48" s="57">
        <f t="shared" si="5"/>
        <v>697306.88007707987</v>
      </c>
      <c r="E48" s="57">
        <f t="shared" si="7"/>
        <v>570277.69996288</v>
      </c>
      <c r="F48" s="57">
        <f t="shared" si="6"/>
        <v>575372.75794524001</v>
      </c>
      <c r="G48" s="57"/>
      <c r="H48" s="59"/>
    </row>
    <row r="49" spans="2:8" x14ac:dyDescent="0.2">
      <c r="B49" s="56" t="s">
        <v>146</v>
      </c>
      <c r="C49" s="57">
        <f t="shared" si="4"/>
        <v>712389.80323950003</v>
      </c>
      <c r="D49" s="57">
        <f t="shared" si="5"/>
        <v>679962.35882202</v>
      </c>
      <c r="E49" s="57">
        <f t="shared" si="7"/>
        <v>662638.68773375999</v>
      </c>
      <c r="F49" s="57">
        <f t="shared" si="6"/>
        <v>587925.66086765996</v>
      </c>
      <c r="G49" s="57"/>
      <c r="H49" s="59"/>
    </row>
    <row r="50" spans="2:8" x14ac:dyDescent="0.2">
      <c r="B50" s="56" t="s">
        <v>147</v>
      </c>
      <c r="C50" s="57">
        <f t="shared" si="4"/>
        <v>556611.28202129994</v>
      </c>
      <c r="D50" s="57">
        <f t="shared" si="5"/>
        <v>458748.30579041992</v>
      </c>
      <c r="E50" s="57">
        <f t="shared" si="7"/>
        <v>581694.32462848001</v>
      </c>
      <c r="F50" s="57">
        <f t="shared" si="6"/>
        <v>556221.40723566001</v>
      </c>
      <c r="G50" s="57"/>
      <c r="H50" s="59"/>
    </row>
    <row r="51" spans="2:8" x14ac:dyDescent="0.2">
      <c r="B51" s="56" t="s">
        <v>148</v>
      </c>
      <c r="C51" s="57">
        <f t="shared" si="4"/>
        <v>145972.42527005999</v>
      </c>
      <c r="D51" s="57">
        <f t="shared" si="5"/>
        <v>154652.85221291997</v>
      </c>
      <c r="E51" s="57">
        <f t="shared" si="7"/>
        <v>128953.49384192</v>
      </c>
      <c r="F51" s="57">
        <f t="shared" si="6"/>
        <v>158838.31069632</v>
      </c>
      <c r="G51" s="57"/>
      <c r="H51" s="59"/>
    </row>
    <row r="52" spans="2:8" x14ac:dyDescent="0.2">
      <c r="B52" s="56" t="s">
        <v>149</v>
      </c>
      <c r="C52" s="57">
        <f t="shared" si="4"/>
        <v>957228.09276348003</v>
      </c>
      <c r="D52" s="57">
        <f t="shared" si="5"/>
        <v>792194.51083872002</v>
      </c>
      <c r="E52" s="57">
        <f t="shared" si="7"/>
        <v>792976.01486848004</v>
      </c>
      <c r="F52" s="57">
        <f t="shared" si="6"/>
        <v>725700.45805721998</v>
      </c>
      <c r="G52" s="57"/>
      <c r="H52" s="59"/>
    </row>
    <row r="53" spans="2:8" x14ac:dyDescent="0.2">
      <c r="B53" s="56" t="s">
        <v>150</v>
      </c>
      <c r="C53" s="57">
        <f t="shared" si="4"/>
        <v>774760.10719794</v>
      </c>
      <c r="D53" s="57">
        <f t="shared" si="5"/>
        <v>751920.94615277997</v>
      </c>
      <c r="E53" s="57">
        <f t="shared" si="7"/>
        <v>948202.57222655998</v>
      </c>
      <c r="F53" s="57">
        <f t="shared" si="6"/>
        <v>825638.21005283995</v>
      </c>
      <c r="G53" s="57"/>
      <c r="H53" s="59"/>
    </row>
    <row r="54" spans="2:8" x14ac:dyDescent="0.2">
      <c r="B54" s="56" t="s">
        <v>151</v>
      </c>
      <c r="C54" s="57">
        <f t="shared" si="4"/>
        <v>806691.26847851998</v>
      </c>
      <c r="D54" s="57">
        <f t="shared" si="5"/>
        <v>897532.1910334198</v>
      </c>
      <c r="E54" s="57">
        <f t="shared" si="7"/>
        <v>773167.42973440001</v>
      </c>
      <c r="F54" s="57">
        <f t="shared" si="6"/>
        <v>763408.7047207799</v>
      </c>
      <c r="G54" s="57"/>
      <c r="H54" s="59"/>
    </row>
    <row r="55" spans="2:8" x14ac:dyDescent="0.2">
      <c r="B55" s="56" t="s">
        <v>152</v>
      </c>
      <c r="C55" s="57">
        <f t="shared" si="4"/>
        <v>561813.71530709998</v>
      </c>
      <c r="D55" s="57">
        <f t="shared" si="5"/>
        <v>365416.85581145994</v>
      </c>
      <c r="E55" s="57">
        <f t="shared" si="7"/>
        <v>593783.09689344</v>
      </c>
      <c r="F55" s="57">
        <f t="shared" si="6"/>
        <v>516492.01440305996</v>
      </c>
      <c r="G55" s="57"/>
      <c r="H55" s="59"/>
    </row>
    <row r="56" spans="2:8" x14ac:dyDescent="0.2">
      <c r="B56" s="24" t="s">
        <v>14</v>
      </c>
      <c r="C56" s="31">
        <f>SUBTOTAL(109,Tab_Metano3031[2022])</f>
        <v>7901092.4857342206</v>
      </c>
      <c r="D56" s="31">
        <f>SUBTOTAL(109,Tab_Metano3031[2023])</f>
        <v>7775802.0042517195</v>
      </c>
      <c r="E56" s="31">
        <f>SUBTOTAL(109,Tab_Metano3031[2024])</f>
        <v>7722778.2261760002</v>
      </c>
      <c r="F56" s="31">
        <f>SUBTOTAL(109,Tab_Metano3031[2025])</f>
        <v>7814553.6034287009</v>
      </c>
      <c r="G56" s="31">
        <f>SUBTOTAL(109,Tab_Metano3031[2026])</f>
        <v>0</v>
      </c>
      <c r="H56" s="122">
        <f>SUBTOTAL(109,Tab_Metano3031[2027])</f>
        <v>0</v>
      </c>
    </row>
  </sheetData>
  <mergeCells count="1">
    <mergeCell ref="A1:I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3" orientation="portrait" r:id="rId1"/>
  <headerFooter alignWithMargins="0">
    <oddHeader>&amp;C&amp;F</oddHeader>
    <oddFooter>&amp;C&amp;A</oddFooter>
  </headerFooter>
  <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4"/>
  <sheetViews>
    <sheetView topLeftCell="A34" workbookViewId="0">
      <selection activeCell="H23" sqref="H23:J23"/>
    </sheetView>
  </sheetViews>
  <sheetFormatPr defaultColWidth="9.140625" defaultRowHeight="15" x14ac:dyDescent="0.2"/>
  <cols>
    <col min="1" max="1" width="19.85546875" style="11" bestFit="1" customWidth="1"/>
    <col min="2" max="2" width="14.5703125" style="11" customWidth="1"/>
    <col min="3" max="3" width="13.7109375" style="11" customWidth="1"/>
    <col min="4" max="4" width="19.42578125" style="11" bestFit="1" customWidth="1"/>
    <col min="5" max="5" width="14.42578125" style="11" customWidth="1"/>
    <col min="6" max="6" width="12.7109375" style="11" customWidth="1"/>
    <col min="7" max="7" width="13.42578125" style="11" customWidth="1"/>
    <col min="8" max="8" width="14.28515625" style="11" customWidth="1"/>
    <col min="9" max="9" width="13.85546875" style="11" customWidth="1"/>
    <col min="10" max="10" width="14" style="11" customWidth="1"/>
    <col min="11" max="11" width="12.140625" style="11" customWidth="1"/>
    <col min="12" max="12" width="13.5703125" style="11" customWidth="1"/>
    <col min="13" max="13" width="11.42578125" style="11" customWidth="1"/>
    <col min="14" max="14" width="12.5703125" style="11" customWidth="1"/>
    <col min="15" max="16384" width="9.140625" style="11"/>
  </cols>
  <sheetData>
    <row r="1" spans="1:14" ht="18.75" x14ac:dyDescent="0.2">
      <c r="A1" s="137" t="s">
        <v>70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3" spans="1:14" ht="30.75" customHeight="1" x14ac:dyDescent="0.2">
      <c r="A3" s="11" t="s">
        <v>17</v>
      </c>
      <c r="B3" s="11" t="s">
        <v>18</v>
      </c>
      <c r="C3" s="11" t="s">
        <v>21</v>
      </c>
      <c r="D3" s="11" t="s">
        <v>19</v>
      </c>
      <c r="E3" s="11" t="s">
        <v>45</v>
      </c>
      <c r="F3" s="39" t="s">
        <v>85</v>
      </c>
      <c r="G3" s="39" t="s">
        <v>60</v>
      </c>
      <c r="H3" s="29" t="s">
        <v>61</v>
      </c>
      <c r="I3" s="29" t="s">
        <v>62</v>
      </c>
      <c r="J3" s="29" t="s">
        <v>63</v>
      </c>
      <c r="K3" s="29" t="s">
        <v>64</v>
      </c>
      <c r="L3" s="29" t="s">
        <v>65</v>
      </c>
      <c r="M3" s="29" t="s">
        <v>66</v>
      </c>
      <c r="N3" s="29" t="s">
        <v>67</v>
      </c>
    </row>
    <row r="4" spans="1:14" ht="30.75" customHeight="1" x14ac:dyDescent="0.2">
      <c r="A4" s="65" t="s">
        <v>92</v>
      </c>
      <c r="B4" s="64" t="s">
        <v>93</v>
      </c>
      <c r="C4" s="78" t="s">
        <v>20</v>
      </c>
      <c r="D4" s="62" t="s">
        <v>19</v>
      </c>
      <c r="E4" s="62" t="s">
        <v>46</v>
      </c>
      <c r="F4" s="63"/>
      <c r="G4" s="63">
        <v>2510</v>
      </c>
      <c r="H4" s="63">
        <v>8700</v>
      </c>
      <c r="I4" s="63">
        <v>3600</v>
      </c>
      <c r="J4" s="63"/>
      <c r="K4" s="63"/>
      <c r="L4" s="63"/>
      <c r="M4" s="63"/>
      <c r="N4" s="63"/>
    </row>
    <row r="5" spans="1:14" ht="60" x14ac:dyDescent="0.2">
      <c r="A5" s="76" t="s">
        <v>112</v>
      </c>
      <c r="B5" s="77" t="s">
        <v>113</v>
      </c>
      <c r="C5" s="78" t="s">
        <v>20</v>
      </c>
      <c r="D5" s="62" t="s">
        <v>19</v>
      </c>
      <c r="E5" s="78" t="s">
        <v>46</v>
      </c>
      <c r="F5" s="13"/>
      <c r="G5" s="75"/>
      <c r="H5" s="75">
        <v>8</v>
      </c>
      <c r="I5" s="75">
        <v>23</v>
      </c>
      <c r="J5" s="75"/>
      <c r="K5" s="75"/>
      <c r="L5" s="75"/>
      <c r="M5" s="75"/>
      <c r="N5" s="75"/>
    </row>
    <row r="6" spans="1:14" ht="30" x14ac:dyDescent="0.2">
      <c r="A6" s="12" t="s">
        <v>49</v>
      </c>
      <c r="B6" s="11">
        <v>150101</v>
      </c>
      <c r="C6" s="11" t="s">
        <v>20</v>
      </c>
      <c r="D6" s="11" t="s">
        <v>48</v>
      </c>
      <c r="E6" s="11" t="s">
        <v>46</v>
      </c>
      <c r="F6" s="63">
        <v>60570</v>
      </c>
      <c r="G6" s="15">
        <v>65430</v>
      </c>
      <c r="H6" s="13">
        <v>56190</v>
      </c>
      <c r="I6" s="13">
        <v>74150</v>
      </c>
      <c r="J6" s="13"/>
      <c r="K6" s="13"/>
      <c r="L6" s="23"/>
      <c r="M6" s="30"/>
      <c r="N6" s="30"/>
    </row>
    <row r="7" spans="1:14" x14ac:dyDescent="0.2">
      <c r="A7" s="12" t="s">
        <v>50</v>
      </c>
      <c r="B7" s="11">
        <v>150102</v>
      </c>
      <c r="C7" s="11" t="s">
        <v>20</v>
      </c>
      <c r="D7" s="11" t="s">
        <v>48</v>
      </c>
      <c r="E7" s="11" t="s">
        <v>46</v>
      </c>
      <c r="F7" s="63">
        <v>4310</v>
      </c>
      <c r="G7" s="15">
        <v>10910</v>
      </c>
      <c r="H7" s="13">
        <v>10660</v>
      </c>
      <c r="I7" s="13">
        <v>15100</v>
      </c>
      <c r="J7" s="13"/>
      <c r="K7" s="13"/>
      <c r="L7" s="23"/>
      <c r="M7" s="30"/>
      <c r="N7" s="30"/>
    </row>
    <row r="8" spans="1:14" x14ac:dyDescent="0.2">
      <c r="A8" s="12" t="s">
        <v>44</v>
      </c>
      <c r="B8" s="11">
        <v>150103</v>
      </c>
      <c r="C8" s="11" t="s">
        <v>20</v>
      </c>
      <c r="D8" s="11" t="s">
        <v>48</v>
      </c>
      <c r="E8" s="11" t="s">
        <v>46</v>
      </c>
      <c r="F8" s="63">
        <v>14630</v>
      </c>
      <c r="G8" s="15">
        <v>14640</v>
      </c>
      <c r="H8" s="13">
        <v>13120</v>
      </c>
      <c r="I8" s="13">
        <v>14410</v>
      </c>
      <c r="J8" s="13"/>
      <c r="K8" s="13"/>
      <c r="L8" s="23"/>
      <c r="M8" s="30"/>
      <c r="N8" s="30"/>
    </row>
    <row r="9" spans="1:14" x14ac:dyDescent="0.2">
      <c r="A9" s="62" t="s">
        <v>94</v>
      </c>
      <c r="B9" s="62">
        <v>150104</v>
      </c>
      <c r="C9" s="62" t="s">
        <v>20</v>
      </c>
      <c r="D9" s="62" t="s">
        <v>19</v>
      </c>
      <c r="E9" s="62" t="s">
        <v>46</v>
      </c>
      <c r="F9" s="63"/>
      <c r="G9" s="63">
        <v>500</v>
      </c>
      <c r="H9" s="63"/>
      <c r="I9" s="63"/>
      <c r="J9" s="63"/>
      <c r="K9" s="63"/>
      <c r="L9" s="63"/>
      <c r="M9" s="63"/>
      <c r="N9" s="63"/>
    </row>
    <row r="10" spans="1:14" ht="30" x14ac:dyDescent="0.2">
      <c r="A10" s="12" t="s">
        <v>22</v>
      </c>
      <c r="B10" s="11" t="s">
        <v>51</v>
      </c>
      <c r="C10" s="11" t="s">
        <v>20</v>
      </c>
      <c r="D10" s="11" t="s">
        <v>48</v>
      </c>
      <c r="E10" s="11" t="s">
        <v>46</v>
      </c>
      <c r="F10" s="63">
        <v>18400</v>
      </c>
      <c r="G10" s="15">
        <v>0</v>
      </c>
      <c r="H10" s="13"/>
      <c r="I10" s="13"/>
      <c r="J10" s="13"/>
      <c r="K10" s="13"/>
      <c r="L10" s="23"/>
      <c r="M10" s="30"/>
      <c r="N10" s="30"/>
    </row>
    <row r="11" spans="1:14" ht="75" x14ac:dyDescent="0.2">
      <c r="A11" s="65" t="s">
        <v>96</v>
      </c>
      <c r="B11" s="62" t="s">
        <v>95</v>
      </c>
      <c r="C11" s="124" t="s">
        <v>20</v>
      </c>
      <c r="D11" s="62" t="s">
        <v>19</v>
      </c>
      <c r="E11" s="62" t="s">
        <v>47</v>
      </c>
      <c r="F11" s="63">
        <v>400</v>
      </c>
      <c r="G11" s="63">
        <v>425</v>
      </c>
      <c r="H11" s="63">
        <v>205</v>
      </c>
      <c r="I11" s="63">
        <v>222</v>
      </c>
      <c r="J11" s="63"/>
      <c r="K11" s="63"/>
      <c r="L11" s="63"/>
      <c r="M11" s="63"/>
      <c r="N11" s="63"/>
    </row>
    <row r="12" spans="1:14" ht="105" x14ac:dyDescent="0.2">
      <c r="A12" s="65" t="s">
        <v>98</v>
      </c>
      <c r="B12" s="62" t="s">
        <v>97</v>
      </c>
      <c r="C12" s="124"/>
      <c r="D12" s="62" t="s">
        <v>19</v>
      </c>
      <c r="E12" s="62" t="s">
        <v>47</v>
      </c>
      <c r="F12" s="63"/>
      <c r="G12" s="63">
        <v>10</v>
      </c>
      <c r="H12" s="63"/>
      <c r="I12" s="63"/>
      <c r="J12" s="63"/>
      <c r="K12" s="63"/>
      <c r="L12" s="63"/>
      <c r="M12" s="63"/>
      <c r="N12" s="63"/>
    </row>
    <row r="13" spans="1:14" ht="75" x14ac:dyDescent="0.2">
      <c r="A13" s="65" t="s">
        <v>100</v>
      </c>
      <c r="B13" s="62" t="s">
        <v>99</v>
      </c>
      <c r="C13" s="21" t="s">
        <v>20</v>
      </c>
      <c r="D13" s="19" t="s">
        <v>19</v>
      </c>
      <c r="E13" s="19" t="s">
        <v>47</v>
      </c>
      <c r="F13" s="63"/>
      <c r="G13" s="20">
        <v>190</v>
      </c>
      <c r="H13" s="20"/>
      <c r="I13" s="20"/>
      <c r="J13" s="20"/>
      <c r="K13" s="20"/>
      <c r="L13" s="23"/>
      <c r="M13" s="30"/>
      <c r="N13" s="30"/>
    </row>
    <row r="14" spans="1:14" ht="75" x14ac:dyDescent="0.2">
      <c r="A14" s="76" t="s">
        <v>114</v>
      </c>
      <c r="B14" s="78">
        <v>160214</v>
      </c>
      <c r="C14" s="78" t="s">
        <v>20</v>
      </c>
      <c r="D14" s="19" t="s">
        <v>19</v>
      </c>
      <c r="E14" s="78" t="s">
        <v>46</v>
      </c>
      <c r="F14" s="13"/>
      <c r="G14" s="75"/>
      <c r="H14" s="75">
        <v>100</v>
      </c>
      <c r="I14" s="75"/>
      <c r="J14" s="75"/>
      <c r="K14" s="75"/>
      <c r="L14" s="75"/>
      <c r="M14" s="75"/>
      <c r="N14" s="75"/>
    </row>
    <row r="15" spans="1:14" ht="75" x14ac:dyDescent="0.2">
      <c r="A15" s="65" t="s">
        <v>101</v>
      </c>
      <c r="B15" s="21">
        <v>160216</v>
      </c>
      <c r="C15" s="21" t="s">
        <v>20</v>
      </c>
      <c r="D15" s="21" t="s">
        <v>19</v>
      </c>
      <c r="E15" s="21" t="s">
        <v>46</v>
      </c>
      <c r="F15" s="63"/>
      <c r="G15" s="22">
        <v>1955</v>
      </c>
      <c r="H15" s="22"/>
      <c r="I15" s="22"/>
      <c r="J15" s="22"/>
      <c r="K15" s="22"/>
      <c r="L15" s="23"/>
      <c r="M15" s="30"/>
      <c r="N15" s="30"/>
    </row>
    <row r="16" spans="1:14" x14ac:dyDescent="0.2">
      <c r="A16" s="76" t="s">
        <v>115</v>
      </c>
      <c r="B16" s="78" t="s">
        <v>116</v>
      </c>
      <c r="C16" s="124" t="s">
        <v>20</v>
      </c>
      <c r="D16" s="21" t="s">
        <v>19</v>
      </c>
      <c r="E16" s="78" t="s">
        <v>47</v>
      </c>
      <c r="F16" s="13"/>
      <c r="G16" s="75"/>
      <c r="H16" s="75">
        <v>90</v>
      </c>
      <c r="I16" s="75">
        <v>140</v>
      </c>
      <c r="J16" s="75"/>
      <c r="K16" s="75"/>
      <c r="L16" s="75"/>
      <c r="M16" s="75"/>
      <c r="N16" s="75"/>
    </row>
    <row r="17" spans="1:14" x14ac:dyDescent="0.2">
      <c r="A17" s="62" t="s">
        <v>103</v>
      </c>
      <c r="B17" s="62" t="s">
        <v>102</v>
      </c>
      <c r="C17" s="62"/>
      <c r="D17" s="62" t="s">
        <v>19</v>
      </c>
      <c r="E17" s="62" t="s">
        <v>47</v>
      </c>
      <c r="F17" s="63">
        <v>700</v>
      </c>
      <c r="G17" s="63"/>
      <c r="H17" s="63"/>
      <c r="I17" s="63"/>
      <c r="J17" s="63"/>
      <c r="K17" s="63"/>
      <c r="L17" s="63"/>
      <c r="M17" s="63"/>
      <c r="N17" s="63"/>
    </row>
    <row r="18" spans="1:14" x14ac:dyDescent="0.2">
      <c r="A18" s="12" t="s">
        <v>43</v>
      </c>
      <c r="B18" s="11">
        <v>170405</v>
      </c>
      <c r="C18" s="11" t="s">
        <v>20</v>
      </c>
      <c r="D18" s="11" t="s">
        <v>48</v>
      </c>
      <c r="E18" s="11" t="s">
        <v>46</v>
      </c>
      <c r="F18" s="63"/>
      <c r="G18" s="15">
        <v>5750</v>
      </c>
      <c r="H18" s="13">
        <v>5925</v>
      </c>
      <c r="I18" s="13">
        <v>3830</v>
      </c>
      <c r="J18" s="13"/>
      <c r="K18" s="13"/>
      <c r="L18" s="23"/>
      <c r="M18" s="30"/>
      <c r="N18" s="30"/>
    </row>
    <row r="19" spans="1:14" ht="45" x14ac:dyDescent="0.2">
      <c r="A19" s="67" t="s">
        <v>104</v>
      </c>
      <c r="B19" s="66">
        <v>170411</v>
      </c>
      <c r="C19" s="124" t="s">
        <v>20</v>
      </c>
      <c r="D19" s="66" t="s">
        <v>19</v>
      </c>
      <c r="E19" s="66" t="s">
        <v>46</v>
      </c>
      <c r="F19" s="63"/>
      <c r="G19" s="23">
        <v>175</v>
      </c>
      <c r="H19" s="23">
        <v>185</v>
      </c>
      <c r="I19" s="23">
        <v>195</v>
      </c>
      <c r="J19" s="23"/>
      <c r="K19" s="23"/>
      <c r="L19" s="23"/>
      <c r="M19" s="23"/>
      <c r="N19" s="23"/>
    </row>
    <row r="20" spans="1:14" ht="60" x14ac:dyDescent="0.2">
      <c r="A20" s="76" t="s">
        <v>117</v>
      </c>
      <c r="B20" s="78" t="s">
        <v>118</v>
      </c>
      <c r="C20" s="124" t="s">
        <v>162</v>
      </c>
      <c r="D20" s="66" t="s">
        <v>19</v>
      </c>
      <c r="E20" s="78" t="s">
        <v>47</v>
      </c>
      <c r="F20" s="13"/>
      <c r="G20" s="75"/>
      <c r="H20" s="75">
        <v>200</v>
      </c>
      <c r="I20" s="75"/>
      <c r="J20" s="75"/>
      <c r="K20" s="75"/>
      <c r="L20" s="75"/>
      <c r="M20" s="75"/>
      <c r="N20" s="75"/>
    </row>
    <row r="21" spans="1:14" x14ac:dyDescent="0.2">
      <c r="A21" s="66" t="s">
        <v>105</v>
      </c>
      <c r="B21" s="66">
        <v>200201</v>
      </c>
      <c r="C21" s="124" t="s">
        <v>20</v>
      </c>
      <c r="D21" s="66" t="s">
        <v>19</v>
      </c>
      <c r="E21" s="66" t="s">
        <v>46</v>
      </c>
      <c r="F21" s="63">
        <v>1360</v>
      </c>
      <c r="G21" s="23">
        <v>5700</v>
      </c>
      <c r="H21" s="23"/>
      <c r="I21" s="23">
        <v>1600</v>
      </c>
      <c r="J21" s="23"/>
      <c r="K21" s="23"/>
      <c r="L21" s="23"/>
      <c r="M21" s="23"/>
      <c r="N21" s="23"/>
    </row>
    <row r="22" spans="1:14" x14ac:dyDescent="0.2">
      <c r="A22" s="79"/>
      <c r="B22" s="79"/>
      <c r="C22" s="79"/>
      <c r="D22" s="79"/>
      <c r="E22" s="79"/>
      <c r="F22" s="80">
        <f>SUBTOTAL(109,Tabella15[kg prodotti 2022])</f>
        <v>100370</v>
      </c>
      <c r="G22" s="80">
        <f>SUBTOTAL(109,Tabella15[kg prodotti 2023])</f>
        <v>108195</v>
      </c>
      <c r="H22" s="80">
        <f>SUBTOTAL(109,Tabella15[kg prodotti 2024])</f>
        <v>95383</v>
      </c>
      <c r="I22" s="80">
        <f>SUBTOTAL(109,Tabella15[kg prodotti 2025])</f>
        <v>113270</v>
      </c>
      <c r="J22" s="80">
        <f>SUBTOTAL(109,Tabella15[kg prodotti 2026])</f>
        <v>0</v>
      </c>
      <c r="K22" s="80">
        <f>SUBTOTAL(109,Tabella15[kg prodotti 2027])</f>
        <v>0</v>
      </c>
      <c r="L22" s="80">
        <f>SUBTOTAL(109,Tabella15[kg prodotti 2028])</f>
        <v>0</v>
      </c>
      <c r="M22" s="80">
        <f>SUBTOTAL(109,Tabella15[kg prodotti 2029])</f>
        <v>0</v>
      </c>
      <c r="N22" s="80">
        <f>SUBTOTAL(109,Tabella15[kg prodotti 2030])</f>
        <v>0</v>
      </c>
    </row>
    <row r="23" spans="1:14" x14ac:dyDescent="0.2">
      <c r="I23" s="129"/>
    </row>
    <row r="24" spans="1:14" x14ac:dyDescent="0.2">
      <c r="A24" s="17"/>
      <c r="B24" s="16"/>
      <c r="C24" s="18"/>
      <c r="D24" s="18"/>
      <c r="E24" s="18"/>
      <c r="F24" s="18"/>
      <c r="G24" s="18"/>
      <c r="H24" s="17"/>
      <c r="I24" s="17"/>
      <c r="J24" s="18"/>
      <c r="K24" s="18"/>
      <c r="L24" s="18"/>
      <c r="M24" s="18"/>
    </row>
    <row r="25" spans="1:14" ht="45" x14ac:dyDescent="0.2">
      <c r="A25" s="44" t="s">
        <v>1</v>
      </c>
      <c r="B25" s="68" t="s">
        <v>106</v>
      </c>
      <c r="C25" s="45" t="s">
        <v>107</v>
      </c>
      <c r="D25" s="45" t="s">
        <v>108</v>
      </c>
      <c r="E25" s="45" t="s">
        <v>109</v>
      </c>
      <c r="F25" s="45" t="s">
        <v>110</v>
      </c>
      <c r="G25" s="45" t="s">
        <v>111</v>
      </c>
      <c r="H25" s="17"/>
      <c r="I25" s="17"/>
      <c r="J25" s="18"/>
      <c r="K25" s="18"/>
      <c r="L25" s="18"/>
      <c r="M25" s="18"/>
    </row>
    <row r="26" spans="1:14" x14ac:dyDescent="0.2">
      <c r="A26" s="41">
        <v>2022</v>
      </c>
      <c r="B26" s="46">
        <f>Tabella15[[#Totals],[kg prodotti 2022]]</f>
        <v>100370</v>
      </c>
      <c r="C26" s="46">
        <f>SUMIF(C4:C21,"=R",F4:F21)</f>
        <v>99670</v>
      </c>
      <c r="D26" s="69">
        <f>SUMIF(C4:C21,"=D",F4:F21)</f>
        <v>0</v>
      </c>
      <c r="E26" s="70">
        <f>Tabella39[[#This Row],[Totale rifiuti avviati a recupero]]/Tabella39[[#This Row],[Totale rifiuti prodotti]]</f>
        <v>0.99302580452326394</v>
      </c>
      <c r="F26" s="46">
        <f>SUMIF(E4:E21,"=P",F4:F21)</f>
        <v>1100</v>
      </c>
      <c r="G26" s="69">
        <f>Tabella39[[#This Row],[Totale rifiuti prodotti]]-Tabella39[[#This Row],[Totale rifiuti pericolosi]]</f>
        <v>99270</v>
      </c>
      <c r="J26" s="13"/>
      <c r="K26" s="13"/>
      <c r="L26" s="13"/>
      <c r="M26" s="14"/>
    </row>
    <row r="27" spans="1:14" x14ac:dyDescent="0.2">
      <c r="A27" s="41">
        <v>2023</v>
      </c>
      <c r="B27" s="42">
        <f>Tabella15[[#Totals],[kg prodotti 2023]]</f>
        <v>108195</v>
      </c>
      <c r="C27" s="46">
        <f>SUMIF(C4:C21,"=R",G4:G21)</f>
        <v>108185</v>
      </c>
      <c r="D27" s="69">
        <f>SUMIF(C5:C21,"=D",F5:F21)</f>
        <v>0</v>
      </c>
      <c r="E27" s="70">
        <f>Tabella39[[#This Row],[Totale rifiuti avviati a recupero]]/Tabella39[[#This Row],[Totale rifiuti prodotti]]</f>
        <v>0.9999075742871667</v>
      </c>
      <c r="F27" s="46">
        <f>SUMIF(E4:E21,"=P",G4:G21)</f>
        <v>625</v>
      </c>
      <c r="G27" s="69">
        <f>Tabella39[[#This Row],[Totale rifiuti prodotti]]-Tabella39[[#This Row],[Totale rifiuti pericolosi]]</f>
        <v>107570</v>
      </c>
      <c r="J27" s="13"/>
      <c r="K27" s="13"/>
      <c r="L27" s="13"/>
      <c r="M27" s="14"/>
    </row>
    <row r="28" spans="1:14" x14ac:dyDescent="0.2">
      <c r="A28" s="41">
        <v>2024</v>
      </c>
      <c r="B28" s="42">
        <f>Tabella15[[#Totals],[kg prodotti 2024]]</f>
        <v>95383</v>
      </c>
      <c r="C28" s="46">
        <f>SUMIF(C4:C21,"=R",H4:H21)</f>
        <v>95183</v>
      </c>
      <c r="D28" s="69">
        <f>SUMIF(C5:C21,"=D",H5:H21)</f>
        <v>200</v>
      </c>
      <c r="E28" s="70">
        <f>Tabella39[[#This Row],[Totale rifiuti avviati a recupero]]/Tabella39[[#This Row],[Totale rifiuti prodotti]]</f>
        <v>0.99790319029596464</v>
      </c>
      <c r="F28" s="46">
        <f>SUMIF(E4:E21,"=P",H4:H21)</f>
        <v>495</v>
      </c>
      <c r="G28" s="69">
        <f>Tabella39[[#This Row],[Totale rifiuti prodotti]]-Tabella39[[#This Row],[Totale rifiuti pericolosi]]</f>
        <v>94888</v>
      </c>
      <c r="J28" s="13"/>
      <c r="K28" s="13"/>
      <c r="L28" s="13"/>
      <c r="M28" s="14"/>
    </row>
    <row r="29" spans="1:14" x14ac:dyDescent="0.2">
      <c r="A29" s="41">
        <v>2025</v>
      </c>
      <c r="B29" s="42">
        <f>Tabella15[[#Totals],[kg prodotti 2025]]</f>
        <v>113270</v>
      </c>
      <c r="C29" s="46">
        <f>SUMIF(C4:C21,"=R",I4:I21)</f>
        <v>113270</v>
      </c>
      <c r="D29" s="69">
        <f>SUMIF(C5:C21,"=D",I5:I21)</f>
        <v>0</v>
      </c>
      <c r="E29" s="70">
        <f>Tabella39[[#This Row],[Totale rifiuti avviati a recupero]]/Tabella39[[#This Row],[Totale rifiuti prodotti]]</f>
        <v>1</v>
      </c>
      <c r="F29" s="46">
        <f>SUMIF(E4:E21,"=P",I4:I21)</f>
        <v>362</v>
      </c>
      <c r="G29" s="69">
        <f>Tabella39[[#This Row],[Totale rifiuti prodotti]]-Tabella39[[#This Row],[Totale rifiuti pericolosi]]</f>
        <v>112908</v>
      </c>
      <c r="J29" s="13"/>
      <c r="K29" s="13"/>
      <c r="L29" s="13"/>
      <c r="M29" s="14"/>
    </row>
    <row r="30" spans="1:14" x14ac:dyDescent="0.2">
      <c r="A30" s="41">
        <v>2026</v>
      </c>
      <c r="B30" s="42"/>
      <c r="C30" s="46"/>
      <c r="D30" s="46"/>
      <c r="E30" s="43"/>
      <c r="F30" s="46"/>
      <c r="G30" s="42"/>
      <c r="J30" s="13"/>
      <c r="K30" s="13"/>
      <c r="L30" s="13"/>
      <c r="M30" s="14"/>
    </row>
    <row r="31" spans="1:14" x14ac:dyDescent="0.2">
      <c r="A31" s="41">
        <v>2027</v>
      </c>
      <c r="B31" s="42"/>
      <c r="C31" s="46"/>
      <c r="D31" s="46"/>
      <c r="E31" s="43"/>
      <c r="F31" s="46"/>
      <c r="G31" s="42"/>
      <c r="J31" s="13"/>
      <c r="K31" s="13"/>
      <c r="L31" s="13"/>
      <c r="M31" s="14"/>
    </row>
    <row r="32" spans="1:14" x14ac:dyDescent="0.2">
      <c r="A32" s="41">
        <v>2028</v>
      </c>
      <c r="B32" s="42"/>
      <c r="C32" s="42"/>
      <c r="D32" s="42"/>
      <c r="E32" s="43"/>
      <c r="F32" s="42"/>
      <c r="G32" s="42"/>
      <c r="J32" s="13"/>
      <c r="K32" s="13"/>
      <c r="L32" s="13"/>
      <c r="M32" s="14"/>
    </row>
    <row r="33" spans="1:13" x14ac:dyDescent="0.2">
      <c r="A33" s="41">
        <v>2029</v>
      </c>
      <c r="B33" s="42"/>
      <c r="C33" s="42"/>
      <c r="D33" s="42"/>
      <c r="E33" s="43"/>
      <c r="F33" s="42"/>
      <c r="G33" s="42"/>
      <c r="J33" s="13"/>
      <c r="K33" s="13"/>
      <c r="L33" s="13"/>
      <c r="M33" s="14"/>
    </row>
    <row r="34" spans="1:13" x14ac:dyDescent="0.2">
      <c r="A34" s="41">
        <v>2030</v>
      </c>
      <c r="B34" s="63"/>
      <c r="C34" s="63"/>
      <c r="D34" s="63"/>
      <c r="E34" s="71"/>
      <c r="F34" s="63"/>
      <c r="G34" s="63"/>
    </row>
  </sheetData>
  <mergeCells count="1">
    <mergeCell ref="A1:M1"/>
  </mergeCells>
  <phoneticPr fontId="19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8EEB9-7C48-42D5-BD13-AFEB2F81CF04}">
  <sheetPr>
    <tabColor theme="9" tint="0.39997558519241921"/>
  </sheetPr>
  <dimension ref="A1:H19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14" sqref="A14"/>
    </sheetView>
  </sheetViews>
  <sheetFormatPr defaultColWidth="9.28515625" defaultRowHeight="15" x14ac:dyDescent="0.25"/>
  <cols>
    <col min="1" max="2" width="12.5703125" style="84" customWidth="1"/>
    <col min="3" max="4" width="18.5703125" style="84" customWidth="1"/>
    <col min="5" max="8" width="12.5703125" style="84" customWidth="1"/>
    <col min="9" max="28" width="12.7109375" style="84" customWidth="1"/>
    <col min="29" max="16384" width="9.28515625" style="84"/>
  </cols>
  <sheetData>
    <row r="1" spans="1:8" s="83" customFormat="1" ht="18.75" x14ac:dyDescent="0.3">
      <c r="A1" s="82" t="s">
        <v>120</v>
      </c>
      <c r="B1" s="82"/>
      <c r="C1" s="82"/>
      <c r="D1" s="82"/>
    </row>
    <row r="2" spans="1:8" ht="15.75" thickBot="1" x14ac:dyDescent="0.3"/>
    <row r="3" spans="1:8" s="88" customFormat="1" x14ac:dyDescent="0.2">
      <c r="A3" s="85"/>
      <c r="B3" s="86"/>
      <c r="C3" s="86"/>
      <c r="D3" s="87" t="s">
        <v>121</v>
      </c>
      <c r="E3" s="138">
        <v>2</v>
      </c>
      <c r="F3" s="139"/>
      <c r="G3" s="138">
        <v>3</v>
      </c>
      <c r="H3" s="140"/>
    </row>
    <row r="4" spans="1:8" s="88" customFormat="1" ht="42.75" customHeight="1" x14ac:dyDescent="0.2">
      <c r="A4" s="89"/>
      <c r="B4" s="90"/>
      <c r="C4" s="90"/>
      <c r="D4" s="91" t="s">
        <v>122</v>
      </c>
      <c r="E4" s="141" t="s">
        <v>134</v>
      </c>
      <c r="F4" s="142"/>
      <c r="G4" s="141" t="s">
        <v>135</v>
      </c>
      <c r="H4" s="143"/>
    </row>
    <row r="5" spans="1:8" s="88" customFormat="1" ht="50.1" customHeight="1" thickBot="1" x14ac:dyDescent="0.25">
      <c r="A5" s="92"/>
      <c r="B5" s="93"/>
      <c r="C5" s="93"/>
      <c r="D5" s="94" t="s">
        <v>123</v>
      </c>
      <c r="E5" s="95" t="s">
        <v>124</v>
      </c>
      <c r="F5" s="96" t="s">
        <v>125</v>
      </c>
      <c r="G5" s="95" t="s">
        <v>124</v>
      </c>
      <c r="H5" s="96" t="s">
        <v>125</v>
      </c>
    </row>
    <row r="6" spans="1:8" s="88" customFormat="1" ht="17.25" x14ac:dyDescent="0.2">
      <c r="A6" s="97"/>
      <c r="B6" s="98"/>
      <c r="C6" s="99"/>
      <c r="D6" s="100" t="s">
        <v>126</v>
      </c>
      <c r="E6" s="101" t="s">
        <v>127</v>
      </c>
      <c r="F6" s="102" t="s">
        <v>128</v>
      </c>
      <c r="G6" s="101" t="s">
        <v>127</v>
      </c>
      <c r="H6" s="102" t="s">
        <v>128</v>
      </c>
    </row>
    <row r="7" spans="1:8" s="107" customFormat="1" x14ac:dyDescent="0.2">
      <c r="A7" s="103" t="s">
        <v>129</v>
      </c>
      <c r="B7" s="104" t="s">
        <v>130</v>
      </c>
      <c r="C7" s="103" t="s">
        <v>131</v>
      </c>
      <c r="D7" s="105" t="s">
        <v>132</v>
      </c>
      <c r="E7" s="106">
        <v>150</v>
      </c>
      <c r="F7" s="106">
        <v>100</v>
      </c>
      <c r="G7" s="106">
        <v>150</v>
      </c>
      <c r="H7" s="106">
        <v>100</v>
      </c>
    </row>
    <row r="8" spans="1:8" s="88" customFormat="1" x14ac:dyDescent="0.2">
      <c r="A8" s="108">
        <v>45237</v>
      </c>
      <c r="B8" s="109" t="s">
        <v>133</v>
      </c>
      <c r="C8" s="108" t="s">
        <v>136</v>
      </c>
      <c r="D8" s="110"/>
      <c r="E8" s="111">
        <v>69</v>
      </c>
      <c r="F8" s="112">
        <v>1</v>
      </c>
      <c r="G8" s="111"/>
      <c r="H8" s="112"/>
    </row>
    <row r="9" spans="1:8" s="88" customFormat="1" x14ac:dyDescent="0.2">
      <c r="A9" s="108">
        <v>45237</v>
      </c>
      <c r="B9" s="109" t="s">
        <v>133</v>
      </c>
      <c r="C9" s="108" t="s">
        <v>137</v>
      </c>
      <c r="D9" s="113"/>
      <c r="E9" s="111"/>
      <c r="F9" s="112"/>
      <c r="G9" s="114">
        <v>52</v>
      </c>
      <c r="H9" s="112">
        <v>1</v>
      </c>
    </row>
    <row r="10" spans="1:8" s="88" customFormat="1" x14ac:dyDescent="0.2">
      <c r="A10" s="108">
        <v>45636</v>
      </c>
      <c r="B10" s="109" t="s">
        <v>133</v>
      </c>
      <c r="C10" s="108" t="s">
        <v>138</v>
      </c>
      <c r="D10" s="113"/>
      <c r="E10" s="111">
        <v>92</v>
      </c>
      <c r="F10" s="112">
        <v>1</v>
      </c>
      <c r="G10" s="111"/>
      <c r="H10" s="112"/>
    </row>
    <row r="11" spans="1:8" s="88" customFormat="1" x14ac:dyDescent="0.2">
      <c r="A11" s="108">
        <v>45636</v>
      </c>
      <c r="B11" s="109" t="s">
        <v>133</v>
      </c>
      <c r="C11" s="108" t="s">
        <v>139</v>
      </c>
      <c r="D11" s="113"/>
      <c r="E11" s="111"/>
      <c r="F11" s="112"/>
      <c r="G11" s="111">
        <v>75</v>
      </c>
      <c r="H11" s="112">
        <v>1</v>
      </c>
    </row>
    <row r="12" spans="1:8" s="88" customFormat="1" x14ac:dyDescent="0.2">
      <c r="A12" s="108">
        <v>46008</v>
      </c>
      <c r="B12" s="109" t="s">
        <v>133</v>
      </c>
      <c r="C12" s="123" t="s">
        <v>160</v>
      </c>
      <c r="D12" s="113"/>
      <c r="E12" s="111">
        <v>82</v>
      </c>
      <c r="F12" s="112">
        <v>2</v>
      </c>
      <c r="G12" s="111"/>
      <c r="H12" s="112"/>
    </row>
    <row r="13" spans="1:8" s="88" customFormat="1" x14ac:dyDescent="0.2">
      <c r="A13" s="108">
        <v>46008</v>
      </c>
      <c r="B13" s="109" t="s">
        <v>133</v>
      </c>
      <c r="C13" s="123" t="s">
        <v>161</v>
      </c>
      <c r="D13" s="113"/>
      <c r="E13" s="111"/>
      <c r="F13" s="112"/>
      <c r="G13" s="111">
        <v>67</v>
      </c>
      <c r="H13" s="112">
        <v>1</v>
      </c>
    </row>
    <row r="14" spans="1:8" s="88" customFormat="1" x14ac:dyDescent="0.2">
      <c r="A14" s="108"/>
      <c r="B14" s="109"/>
      <c r="C14" s="108"/>
      <c r="D14" s="113"/>
      <c r="E14" s="111"/>
      <c r="F14" s="112"/>
      <c r="G14" s="111"/>
      <c r="H14" s="112"/>
    </row>
    <row r="15" spans="1:8" s="88" customFormat="1" x14ac:dyDescent="0.2">
      <c r="A15" s="108"/>
      <c r="B15" s="109"/>
      <c r="C15" s="108"/>
      <c r="D15" s="113"/>
      <c r="E15" s="111"/>
      <c r="F15" s="112"/>
      <c r="G15" s="111"/>
      <c r="H15" s="112"/>
    </row>
    <row r="16" spans="1:8" s="88" customFormat="1" x14ac:dyDescent="0.2">
      <c r="A16" s="108"/>
      <c r="B16" s="109"/>
      <c r="C16" s="108"/>
      <c r="D16" s="113"/>
      <c r="E16" s="111"/>
      <c r="F16" s="112"/>
      <c r="G16" s="111"/>
      <c r="H16" s="112"/>
    </row>
    <row r="17" spans="1:8" s="88" customFormat="1" x14ac:dyDescent="0.2">
      <c r="A17" s="108"/>
      <c r="B17" s="109"/>
      <c r="C17" s="108"/>
      <c r="D17" s="113"/>
      <c r="E17" s="111"/>
      <c r="F17" s="112"/>
      <c r="G17" s="111"/>
      <c r="H17" s="112"/>
    </row>
    <row r="18" spans="1:8" s="88" customFormat="1" x14ac:dyDescent="0.2">
      <c r="A18" s="108"/>
      <c r="B18" s="109"/>
      <c r="C18" s="108"/>
      <c r="D18" s="113"/>
      <c r="E18" s="111"/>
      <c r="F18" s="112"/>
      <c r="G18" s="111"/>
      <c r="H18" s="112"/>
    </row>
    <row r="19" spans="1:8" s="88" customFormat="1" x14ac:dyDescent="0.2">
      <c r="A19" s="108"/>
      <c r="B19" s="109"/>
      <c r="C19" s="108"/>
      <c r="D19" s="115"/>
      <c r="E19" s="111"/>
      <c r="F19" s="112"/>
      <c r="G19" s="111"/>
      <c r="H19" s="112"/>
    </row>
  </sheetData>
  <mergeCells count="4">
    <mergeCell ref="E3:F3"/>
    <mergeCell ref="G3:H3"/>
    <mergeCell ref="E4:F4"/>
    <mergeCell ref="G4:H4"/>
  </mergeCells>
  <conditionalFormatting sqref="E8:H19">
    <cfRule type="cellIs" dxfId="0" priority="1" operator="greaterThan">
      <formula>E$7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5" fitToWidth="3" orientation="landscape" r:id="rId1"/>
  <headerFooter>
    <oddFooter>&amp;L&amp;F&amp;C&amp;A&amp;RPagina 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6"/>
  <sheetViews>
    <sheetView zoomScaleNormal="100" workbookViewId="0">
      <selection activeCell="M7" sqref="M7"/>
    </sheetView>
  </sheetViews>
  <sheetFormatPr defaultColWidth="9.140625" defaultRowHeight="12.75" x14ac:dyDescent="0.2"/>
  <cols>
    <col min="1" max="1" width="16.7109375" style="2" customWidth="1"/>
    <col min="2" max="2" width="13.140625" style="3" bestFit="1" customWidth="1"/>
    <col min="3" max="3" width="11.5703125" style="3" bestFit="1" customWidth="1"/>
    <col min="4" max="4" width="10.140625" style="2" bestFit="1" customWidth="1"/>
    <col min="5" max="5" width="11.7109375" style="2" bestFit="1" customWidth="1"/>
    <col min="6" max="6" width="10.7109375" style="9" bestFit="1" customWidth="1"/>
    <col min="7" max="7" width="10.140625" style="2" bestFit="1" customWidth="1"/>
    <col min="8" max="13" width="9.140625" style="2"/>
    <col min="14" max="14" width="14.42578125" style="2" bestFit="1" customWidth="1"/>
    <col min="15" max="16384" width="9.140625" style="2"/>
  </cols>
  <sheetData>
    <row r="1" spans="1:14" ht="18" x14ac:dyDescent="0.2">
      <c r="A1" s="133" t="s">
        <v>69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3" spans="1:14" ht="21" customHeight="1" x14ac:dyDescent="0.2">
      <c r="A3" s="3"/>
      <c r="B3" s="1" t="s">
        <v>68</v>
      </c>
      <c r="C3" s="1" t="s">
        <v>1</v>
      </c>
      <c r="D3" s="36" t="s">
        <v>71</v>
      </c>
      <c r="E3" s="36" t="s">
        <v>52</v>
      </c>
      <c r="F3" s="36" t="s">
        <v>53</v>
      </c>
      <c r="G3" s="36" t="s">
        <v>54</v>
      </c>
      <c r="H3" s="36" t="s">
        <v>55</v>
      </c>
      <c r="I3" s="36" t="s">
        <v>56</v>
      </c>
      <c r="J3" s="36" t="s">
        <v>57</v>
      </c>
      <c r="K3" s="36" t="s">
        <v>58</v>
      </c>
      <c r="L3" s="1" t="s">
        <v>59</v>
      </c>
    </row>
    <row r="4" spans="1:14" ht="25.5" x14ac:dyDescent="0.2">
      <c r="A4" s="7" t="s">
        <v>78</v>
      </c>
      <c r="B4" s="26" t="s">
        <v>78</v>
      </c>
      <c r="C4" s="24" t="s">
        <v>0</v>
      </c>
      <c r="D4" s="31">
        <f>Tabella1[[#This Row],[2022]]</f>
        <v>1152943</v>
      </c>
      <c r="E4" s="32">
        <f>Tabella1[[#This Row],[2023]]</f>
        <v>1102245</v>
      </c>
      <c r="F4" s="33">
        <f>Tabella1[[#This Row],[2024]]</f>
        <v>1004359</v>
      </c>
      <c r="G4" s="33">
        <f>Tabella1[[#This Row],[2025]]</f>
        <v>1214052</v>
      </c>
      <c r="H4" s="34"/>
      <c r="I4" s="3"/>
      <c r="J4" s="3"/>
      <c r="K4" s="3"/>
      <c r="L4" s="3"/>
      <c r="N4" s="128"/>
    </row>
    <row r="5" spans="1:14" ht="25.5" customHeight="1" x14ac:dyDescent="0.2">
      <c r="A5" s="144" t="s">
        <v>16</v>
      </c>
      <c r="B5" s="26" t="s">
        <v>14</v>
      </c>
      <c r="C5" s="26" t="s">
        <v>24</v>
      </c>
      <c r="D5" s="31">
        <f>'Approvvigionamento idrico'!C6</f>
        <v>160483</v>
      </c>
      <c r="E5" s="32">
        <f>'Approvvigionamento idrico'!D6</f>
        <v>157901</v>
      </c>
      <c r="F5" s="33">
        <f>'Approvvigionamento idrico'!E6</f>
        <v>157344</v>
      </c>
      <c r="G5" s="33">
        <f>'Approvvigionamento idrico'!F6</f>
        <v>165538</v>
      </c>
      <c r="H5" s="34"/>
      <c r="I5" s="3"/>
      <c r="J5" s="3"/>
      <c r="K5" s="3"/>
      <c r="L5" s="3"/>
      <c r="N5" s="128"/>
    </row>
    <row r="6" spans="1:14" ht="25.5" customHeight="1" x14ac:dyDescent="0.2">
      <c r="A6" s="144"/>
      <c r="B6" s="26" t="s">
        <v>40</v>
      </c>
      <c r="C6" s="26" t="s">
        <v>41</v>
      </c>
      <c r="D6" s="31">
        <f>D5*1000/D4</f>
        <v>139.19421862138893</v>
      </c>
      <c r="E6" s="31">
        <f>E5*1000/E4</f>
        <v>143.25399525513836</v>
      </c>
      <c r="F6" s="31">
        <f>F5*1000/F4</f>
        <v>156.6611142031883</v>
      </c>
      <c r="G6" s="31">
        <f>G5*1000/G4</f>
        <v>136.35165544803681</v>
      </c>
      <c r="H6" s="34"/>
      <c r="I6" s="3"/>
      <c r="J6" s="3"/>
      <c r="K6" s="3"/>
      <c r="L6" s="3"/>
      <c r="N6" s="128"/>
    </row>
    <row r="7" spans="1:14" x14ac:dyDescent="0.2">
      <c r="A7" s="144" t="s">
        <v>25</v>
      </c>
      <c r="B7" s="24" t="s">
        <v>14</v>
      </c>
      <c r="C7" s="24" t="s">
        <v>0</v>
      </c>
      <c r="D7" s="31">
        <f>Tabella15[[#Totals],[kg prodotti 2022]]</f>
        <v>100370</v>
      </c>
      <c r="E7" s="32">
        <f>Tabella15[[#Totals],[kg prodotti 2023]]</f>
        <v>108195</v>
      </c>
      <c r="F7" s="33">
        <f>Tabella15[[#Totals],[kg prodotti 2024]]</f>
        <v>95383</v>
      </c>
      <c r="G7" s="33">
        <f>Tabella15[[#Totals],[kg prodotti 2025]]</f>
        <v>113270</v>
      </c>
      <c r="H7" s="34"/>
      <c r="I7" s="3"/>
      <c r="J7" s="3"/>
      <c r="K7" s="3"/>
      <c r="L7" s="3"/>
      <c r="N7" s="128"/>
    </row>
    <row r="8" spans="1:14" ht="25.5" customHeight="1" x14ac:dyDescent="0.2">
      <c r="A8" s="144"/>
      <c r="B8" s="26" t="s">
        <v>35</v>
      </c>
      <c r="C8" s="26" t="s">
        <v>36</v>
      </c>
      <c r="D8" s="35">
        <f>D7/D4</f>
        <v>8.705547455511678E-2</v>
      </c>
      <c r="E8" s="35">
        <f>E7/E4</f>
        <v>9.8158757807928362E-2</v>
      </c>
      <c r="F8" s="35">
        <f>F7/F4</f>
        <v>9.4969029998237683E-2</v>
      </c>
      <c r="G8" s="35">
        <f>G7/G4</f>
        <v>9.3299133809754436E-2</v>
      </c>
      <c r="H8" s="34"/>
      <c r="I8" s="3"/>
      <c r="J8" s="3"/>
      <c r="K8" s="3"/>
      <c r="L8" s="3"/>
      <c r="N8" s="128"/>
    </row>
    <row r="9" spans="1:14" ht="25.5" customHeight="1" x14ac:dyDescent="0.2">
      <c r="A9" s="144" t="s">
        <v>23</v>
      </c>
      <c r="B9" s="26" t="s">
        <v>14</v>
      </c>
      <c r="C9" s="24" t="s">
        <v>26</v>
      </c>
      <c r="D9" s="31">
        <f>Tabella119[[#Totals],[2022]]</f>
        <v>1913919</v>
      </c>
      <c r="E9" s="32">
        <f>Tabella119[[#Totals],[2023]]</f>
        <v>1932662</v>
      </c>
      <c r="F9" s="33">
        <f>Tabella119[[#Totals],[2024]]</f>
        <v>1904574</v>
      </c>
      <c r="G9" s="33">
        <f>Tabella119[[#Totals],[2025]]</f>
        <v>2064321</v>
      </c>
      <c r="H9" s="34"/>
      <c r="I9" s="3"/>
      <c r="J9" s="3"/>
      <c r="K9" s="3"/>
      <c r="L9" s="3"/>
      <c r="N9" s="128"/>
    </row>
    <row r="10" spans="1:14" ht="25.5" customHeight="1" x14ac:dyDescent="0.2">
      <c r="A10" s="144"/>
      <c r="B10" s="26" t="s">
        <v>40</v>
      </c>
      <c r="C10" s="26" t="s">
        <v>37</v>
      </c>
      <c r="D10" s="35">
        <f>D9/D4</f>
        <v>1.6600291601579609</v>
      </c>
      <c r="E10" s="35">
        <f>E9/E4</f>
        <v>1.7533869511769162</v>
      </c>
      <c r="F10" s="35">
        <f>F9/F4</f>
        <v>1.896307993456523</v>
      </c>
      <c r="G10" s="35">
        <f>G9/G4</f>
        <v>1.7003563274060749</v>
      </c>
      <c r="H10" s="34"/>
      <c r="I10" s="3"/>
      <c r="J10" s="3"/>
      <c r="K10" s="3"/>
      <c r="L10" s="3"/>
      <c r="N10" s="128"/>
    </row>
    <row r="11" spans="1:14" ht="25.5" customHeight="1" x14ac:dyDescent="0.2">
      <c r="A11" s="144" t="s">
        <v>27</v>
      </c>
      <c r="B11" s="24" t="s">
        <v>14</v>
      </c>
      <c r="C11" s="26" t="s">
        <v>38</v>
      </c>
      <c r="D11" s="31">
        <f>Tab_Metano[[#Totals],[2022]]</f>
        <v>804927</v>
      </c>
      <c r="E11" s="31">
        <f>Tab_Metano[[#Totals],[2023]]</f>
        <v>789482</v>
      </c>
      <c r="F11" s="31">
        <f>Tab_Metano[[#Totals],[2024]]</f>
        <v>781300</v>
      </c>
      <c r="G11" s="31">
        <f>Tab_Metano[[#Totals],[2025]]</f>
        <v>788745</v>
      </c>
      <c r="H11" s="34"/>
      <c r="I11" s="3"/>
      <c r="J11" s="3"/>
      <c r="K11" s="3"/>
      <c r="L11" s="3"/>
      <c r="N11" s="128"/>
    </row>
    <row r="12" spans="1:14" x14ac:dyDescent="0.2">
      <c r="A12" s="144"/>
      <c r="B12" s="24" t="s">
        <v>14</v>
      </c>
      <c r="C12" s="26" t="s">
        <v>86</v>
      </c>
      <c r="D12" s="31">
        <f>Tab_Metano30[[#Totals],[2022]]</f>
        <v>28443.705399000002</v>
      </c>
      <c r="E12" s="31">
        <f>Tab_Metano30[[#Totals],[2023]]</f>
        <v>27992.663273999999</v>
      </c>
      <c r="F12" s="31">
        <f>Tab_Metano30[[#Totals],[2024]]</f>
        <v>27801.779199999997</v>
      </c>
      <c r="G12" s="31">
        <f>Tab_Metano30[[#Totals],[2025]]</f>
        <v>28132.167914999995</v>
      </c>
      <c r="H12" s="34"/>
      <c r="I12" s="3"/>
      <c r="J12" s="3"/>
      <c r="K12" s="3"/>
      <c r="L12" s="3"/>
      <c r="N12" s="128"/>
    </row>
    <row r="13" spans="1:14" ht="38.25" x14ac:dyDescent="0.2">
      <c r="A13" s="144"/>
      <c r="B13" s="26" t="s">
        <v>40</v>
      </c>
      <c r="C13" s="26" t="s">
        <v>87</v>
      </c>
      <c r="D13" s="35">
        <f>Tab_Metano3031[[#Totals],[2022]]/1000/D4</f>
        <v>6.8529775415907121E-3</v>
      </c>
      <c r="E13" s="35">
        <f>Tab_Metano3031[[#Totals],[2023]]/1000/E4</f>
        <v>7.0545132926452094E-3</v>
      </c>
      <c r="F13" s="35">
        <f>Tab_Metano3031[[#Totals],[2023]]/1000/F4</f>
        <v>7.7420543891693304E-3</v>
      </c>
      <c r="G13" s="35">
        <f>Tab_Metano3031[[#Totals],[2024]]/1000/G4</f>
        <v>6.361159345873159E-3</v>
      </c>
      <c r="H13" s="34"/>
      <c r="I13" s="3"/>
      <c r="J13" s="3"/>
      <c r="K13" s="3"/>
      <c r="L13" s="3"/>
      <c r="N13" s="128"/>
    </row>
    <row r="14" spans="1:14" x14ac:dyDescent="0.2">
      <c r="A14" s="28"/>
    </row>
    <row r="15" spans="1:14" x14ac:dyDescent="0.2">
      <c r="A15" s="28"/>
    </row>
    <row r="16" spans="1:14" x14ac:dyDescent="0.2">
      <c r="A16" s="28"/>
    </row>
  </sheetData>
  <mergeCells count="5">
    <mergeCell ref="A1:L1"/>
    <mergeCell ref="A5:A6"/>
    <mergeCell ref="A7:A8"/>
    <mergeCell ref="A9:A10"/>
    <mergeCell ref="A11:A13"/>
  </mergeCells>
  <phoneticPr fontId="26" type="noConversion"/>
  <pageMargins left="0.78740157480314965" right="0.78740157480314965" top="0.59055118110236227" bottom="0.59055118110236227" header="0.31496062992125984" footer="0.31496062992125984"/>
  <pageSetup paperSize="9" scale="93" orientation="portrait" r:id="rId1"/>
  <headerFooter alignWithMargins="0">
    <oddHeader>&amp;C&amp;F</oddHeader>
    <oddFooter>&amp;C&amp;A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Produzione</vt:lpstr>
      <vt:lpstr>Scarico idrico</vt:lpstr>
      <vt:lpstr>Approvvigionamento idrico</vt:lpstr>
      <vt:lpstr>Energia Elettrica</vt:lpstr>
      <vt:lpstr>Energia Termica</vt:lpstr>
      <vt:lpstr>Rifiuti</vt:lpstr>
      <vt:lpstr>Analisi Emissioni</vt:lpstr>
      <vt:lpstr>Indicatori</vt:lpstr>
      <vt:lpstr>Indicatori!Print_Area</vt:lpstr>
    </vt:vector>
  </TitlesOfParts>
  <Company>Crab Medicina Ambiente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DComunia</dc:creator>
  <cp:lastModifiedBy>Silvia Basso</cp:lastModifiedBy>
  <cp:lastPrinted>2019-03-14T15:27:14Z</cp:lastPrinted>
  <dcterms:created xsi:type="dcterms:W3CDTF">2006-09-15T06:46:19Z</dcterms:created>
  <dcterms:modified xsi:type="dcterms:W3CDTF">2026-05-27T15:34:28Z</dcterms:modified>
</cp:coreProperties>
</file>