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tables/table39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40.xml" ContentType="application/vnd.openxmlformats-officedocument.spreadsheetml.table+xml"/>
  <Override PartName="/xl/drawings/drawing2.xml" ContentType="application/vnd.openxmlformats-officedocument.drawing+xml"/>
  <Override PartName="/xl/tables/table41.xml" ContentType="application/vnd.openxmlformats-officedocument.spreadsheetml.table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testu\AppData\Local\Microsoft\Windows\INetCache\Content.Outlook\N4HYJBAN\"/>
    </mc:Choice>
  </mc:AlternateContent>
  <xr:revisionPtr revIDLastSave="0" documentId="13_ncr:1_{4C409076-58FA-41C4-82DC-33E3825CF3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Materie Prime" sheetId="1" r:id="rId1"/>
    <sheet name="4. Prodotti Finiti" sheetId="2" r:id="rId2"/>
    <sheet name="Prodotti finiti mese" sheetId="3" state="hidden" r:id="rId3"/>
    <sheet name="6. Consumo Risorse Idriche" sheetId="4" r:id="rId4"/>
    <sheet name="Risorse Idriche mese" sheetId="5" state="hidden" r:id="rId5"/>
    <sheet name="R. Idriche (letture) " sheetId="6" state="hidden" r:id="rId6"/>
    <sheet name="7. Risorse Energetiche" sheetId="9" r:id="rId7"/>
    <sheet name="R. Energetiche-Comb. (letture)" sheetId="10" state="hidden" r:id="rId8"/>
    <sheet name="Risorse Energetiche mese" sheetId="12" state="hidden" r:id="rId9"/>
    <sheet name="8. Combustibili" sheetId="13" r:id="rId10"/>
    <sheet name="9, Emissioni in Aria Convogliat" sheetId="14" r:id="rId11"/>
    <sheet name="13a. Uscita Depuratore" sheetId="15" r:id="rId12"/>
    <sheet name="13b. Uscita Depuratore_BAT" sheetId="27" r:id="rId13"/>
    <sheet name="15. Rifiuti in uscita" sheetId="16" r:id="rId14"/>
    <sheet name="Rifiuti Pivot" sheetId="17" state="hidden" r:id="rId15"/>
    <sheet name="21. Indicatori Performance" sheetId="21" r:id="rId16"/>
    <sheet name="22. Indicatori Circolarità" sheetId="23" r:id="rId17"/>
  </sheets>
  <calcPr calcId="191029"/>
  <pivotCaches>
    <pivotCache cacheId="0" r:id="rId1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3" l="1"/>
  <c r="F44" i="3"/>
  <c r="T12" i="17"/>
  <c r="V10" i="17"/>
  <c r="R12" i="17"/>
  <c r="P12" i="17"/>
  <c r="N12" i="17"/>
  <c r="V12" i="17"/>
  <c r="O12" i="17" l="1"/>
  <c r="Q12" i="17"/>
  <c r="S12" i="17"/>
  <c r="U12" i="17"/>
  <c r="K18" i="1" l="1"/>
  <c r="L18" i="1" s="1"/>
  <c r="E28" i="16"/>
  <c r="F28" i="16"/>
  <c r="G28" i="16"/>
  <c r="H28" i="16"/>
  <c r="I28" i="16"/>
  <c r="J28" i="16"/>
  <c r="K28" i="16"/>
  <c r="L28" i="16"/>
  <c r="V8" i="17"/>
  <c r="V11" i="17"/>
  <c r="V6" i="17"/>
  <c r="R10" i="17"/>
  <c r="V9" i="17"/>
  <c r="N11" i="17"/>
  <c r="P11" i="17"/>
  <c r="V7" i="17"/>
  <c r="T10" i="17"/>
  <c r="T11" i="17"/>
  <c r="N10" i="17"/>
  <c r="V5" i="17"/>
  <c r="P10" i="17"/>
  <c r="R11" i="17"/>
  <c r="V4" i="17"/>
  <c r="D9" i="23"/>
  <c r="E9" i="23"/>
  <c r="M9" i="23"/>
  <c r="I9" i="23"/>
  <c r="G9" i="23"/>
  <c r="K9" i="23"/>
  <c r="L29" i="16" l="1"/>
  <c r="E22" i="12"/>
  <c r="E23" i="12"/>
  <c r="E24" i="12"/>
  <c r="E25" i="12"/>
  <c r="E26" i="12"/>
  <c r="E27" i="12"/>
  <c r="E28" i="12"/>
  <c r="E29" i="12"/>
  <c r="E30" i="12"/>
  <c r="E31" i="12"/>
  <c r="E32" i="12"/>
  <c r="E33" i="12"/>
  <c r="E5" i="12"/>
  <c r="E6" i="12"/>
  <c r="E7" i="12"/>
  <c r="E8" i="12"/>
  <c r="E9" i="12"/>
  <c r="E10" i="12"/>
  <c r="E11" i="12"/>
  <c r="E12" i="12"/>
  <c r="E13" i="12"/>
  <c r="E14" i="12"/>
  <c r="E15" i="12"/>
  <c r="E16" i="12"/>
  <c r="S65" i="10"/>
  <c r="E40" i="12" s="1"/>
  <c r="S66" i="10"/>
  <c r="E41" i="12" s="1"/>
  <c r="S67" i="10"/>
  <c r="E42" i="12" s="1"/>
  <c r="E59" i="12" s="1"/>
  <c r="S68" i="10"/>
  <c r="E43" i="12" s="1"/>
  <c r="E60" i="12" s="1"/>
  <c r="S69" i="10"/>
  <c r="E44" i="12" s="1"/>
  <c r="E61" i="12" s="1"/>
  <c r="S70" i="10"/>
  <c r="E45" i="12" s="1"/>
  <c r="E62" i="12" s="1"/>
  <c r="S71" i="10"/>
  <c r="E46" i="12" s="1"/>
  <c r="E63" i="12" s="1"/>
  <c r="S72" i="10"/>
  <c r="E47" i="12" s="1"/>
  <c r="E64" i="12" s="1"/>
  <c r="S73" i="10"/>
  <c r="E48" i="12" s="1"/>
  <c r="E65" i="12" s="1"/>
  <c r="S74" i="10"/>
  <c r="E49" i="12" s="1"/>
  <c r="E66" i="12" s="1"/>
  <c r="S75" i="10"/>
  <c r="E50" i="12" s="1"/>
  <c r="E67" i="12" s="1"/>
  <c r="S64" i="10"/>
  <c r="E39" i="12" s="1"/>
  <c r="R76" i="10"/>
  <c r="Q32" i="10"/>
  <c r="Q33" i="10" s="1"/>
  <c r="Q15" i="10"/>
  <c r="Q16" i="10" s="1"/>
  <c r="N64" i="9"/>
  <c r="N41" i="9"/>
  <c r="N9" i="21"/>
  <c r="L9" i="21"/>
  <c r="J9" i="21"/>
  <c r="H9" i="21"/>
  <c r="G29" i="16"/>
  <c r="L11" i="13"/>
  <c r="L10" i="13"/>
  <c r="L9" i="13"/>
  <c r="L8" i="13"/>
  <c r="L7" i="13"/>
  <c r="L6" i="13"/>
  <c r="D33" i="12"/>
  <c r="C33" i="12"/>
  <c r="D32" i="12"/>
  <c r="C32" i="12"/>
  <c r="D31" i="12"/>
  <c r="C31" i="12"/>
  <c r="D30" i="12"/>
  <c r="C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2" i="12"/>
  <c r="D34" i="12" s="1"/>
  <c r="C22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D9" i="12"/>
  <c r="C9" i="12"/>
  <c r="D8" i="12"/>
  <c r="C8" i="12"/>
  <c r="D7" i="12"/>
  <c r="C7" i="12"/>
  <c r="D6" i="12"/>
  <c r="C6" i="12"/>
  <c r="D5" i="12"/>
  <c r="C5" i="12"/>
  <c r="P76" i="10"/>
  <c r="N76" i="10"/>
  <c r="L76" i="10"/>
  <c r="J76" i="10"/>
  <c r="H76" i="10"/>
  <c r="F76" i="10"/>
  <c r="D76" i="10"/>
  <c r="B76" i="10"/>
  <c r="B5" i="13" s="1"/>
  <c r="Q75" i="10"/>
  <c r="D50" i="12" s="1"/>
  <c r="O75" i="10"/>
  <c r="C50" i="12" s="1"/>
  <c r="M75" i="10"/>
  <c r="K75" i="10"/>
  <c r="I75" i="10"/>
  <c r="G75" i="10"/>
  <c r="E75" i="10"/>
  <c r="C75" i="10"/>
  <c r="Q74" i="10"/>
  <c r="D49" i="12" s="1"/>
  <c r="O74" i="10"/>
  <c r="C49" i="12" s="1"/>
  <c r="M74" i="10"/>
  <c r="K74" i="10"/>
  <c r="I74" i="10"/>
  <c r="G74" i="10"/>
  <c r="E74" i="10"/>
  <c r="C74" i="10"/>
  <c r="Q73" i="10"/>
  <c r="D48" i="12" s="1"/>
  <c r="O73" i="10"/>
  <c r="C48" i="12" s="1"/>
  <c r="M73" i="10"/>
  <c r="K73" i="10"/>
  <c r="I73" i="10"/>
  <c r="G73" i="10"/>
  <c r="E73" i="10"/>
  <c r="C73" i="10"/>
  <c r="Q72" i="10"/>
  <c r="D47" i="12" s="1"/>
  <c r="O72" i="10"/>
  <c r="C47" i="12" s="1"/>
  <c r="M72" i="10"/>
  <c r="K72" i="10"/>
  <c r="I72" i="10"/>
  <c r="G72" i="10"/>
  <c r="E72" i="10"/>
  <c r="C72" i="10"/>
  <c r="Q71" i="10"/>
  <c r="D46" i="12" s="1"/>
  <c r="O71" i="10"/>
  <c r="C46" i="12" s="1"/>
  <c r="M71" i="10"/>
  <c r="K71" i="10"/>
  <c r="I71" i="10"/>
  <c r="G71" i="10"/>
  <c r="E71" i="10"/>
  <c r="C71" i="10"/>
  <c r="Q70" i="10"/>
  <c r="D45" i="12" s="1"/>
  <c r="O70" i="10"/>
  <c r="C45" i="12" s="1"/>
  <c r="M70" i="10"/>
  <c r="K70" i="10"/>
  <c r="I70" i="10"/>
  <c r="G70" i="10"/>
  <c r="E70" i="10"/>
  <c r="C70" i="10"/>
  <c r="Q69" i="10"/>
  <c r="D44" i="12" s="1"/>
  <c r="O69" i="10"/>
  <c r="C44" i="12" s="1"/>
  <c r="M69" i="10"/>
  <c r="K69" i="10"/>
  <c r="I69" i="10"/>
  <c r="G69" i="10"/>
  <c r="E69" i="10"/>
  <c r="C69" i="10"/>
  <c r="Q68" i="10"/>
  <c r="D43" i="12" s="1"/>
  <c r="O68" i="10"/>
  <c r="C43" i="12" s="1"/>
  <c r="M68" i="10"/>
  <c r="K68" i="10"/>
  <c r="I68" i="10"/>
  <c r="G68" i="10"/>
  <c r="E68" i="10"/>
  <c r="C68" i="10"/>
  <c r="Q67" i="10"/>
  <c r="D42" i="12" s="1"/>
  <c r="O67" i="10"/>
  <c r="C42" i="12" s="1"/>
  <c r="M67" i="10"/>
  <c r="K67" i="10"/>
  <c r="I67" i="10"/>
  <c r="G67" i="10"/>
  <c r="E67" i="10"/>
  <c r="C67" i="10"/>
  <c r="Q66" i="10"/>
  <c r="D41" i="12" s="1"/>
  <c r="O66" i="10"/>
  <c r="C41" i="12" s="1"/>
  <c r="M66" i="10"/>
  <c r="K66" i="10"/>
  <c r="I66" i="10"/>
  <c r="G66" i="10"/>
  <c r="E66" i="10"/>
  <c r="C66" i="10"/>
  <c r="Q65" i="10"/>
  <c r="D40" i="12" s="1"/>
  <c r="O65" i="10"/>
  <c r="C40" i="12" s="1"/>
  <c r="M65" i="10"/>
  <c r="K65" i="10"/>
  <c r="I65" i="10"/>
  <c r="G65" i="10"/>
  <c r="E65" i="10"/>
  <c r="C65" i="10"/>
  <c r="Q64" i="10"/>
  <c r="O64" i="10"/>
  <c r="C39" i="12" s="1"/>
  <c r="M64" i="10"/>
  <c r="M76" i="10" s="1"/>
  <c r="M77" i="10" s="1"/>
  <c r="K64" i="10"/>
  <c r="I64" i="10"/>
  <c r="I76" i="10" s="1"/>
  <c r="I77" i="10" s="1"/>
  <c r="G64" i="10"/>
  <c r="G76" i="10" s="1"/>
  <c r="G77" i="10" s="1"/>
  <c r="E64" i="10"/>
  <c r="E76" i="10" s="1"/>
  <c r="E77" i="10" s="1"/>
  <c r="C64" i="10"/>
  <c r="P54" i="10"/>
  <c r="N54" i="10"/>
  <c r="L54" i="10"/>
  <c r="J54" i="10"/>
  <c r="H54" i="10"/>
  <c r="F54" i="10"/>
  <c r="E54" i="10"/>
  <c r="E55" i="10" s="1"/>
  <c r="B29" i="9" s="1"/>
  <c r="D54" i="10"/>
  <c r="C54" i="10"/>
  <c r="C55" i="10" s="1"/>
  <c r="B28" i="9" s="1"/>
  <c r="Q53" i="10"/>
  <c r="O53" i="10"/>
  <c r="M53" i="10"/>
  <c r="K53" i="10"/>
  <c r="I53" i="10"/>
  <c r="G53" i="10"/>
  <c r="Q52" i="10"/>
  <c r="O52" i="10"/>
  <c r="M52" i="10"/>
  <c r="K52" i="10"/>
  <c r="I52" i="10"/>
  <c r="G52" i="10"/>
  <c r="Q51" i="10"/>
  <c r="O51" i="10"/>
  <c r="M51" i="10"/>
  <c r="K51" i="10"/>
  <c r="I51" i="10"/>
  <c r="G51" i="10"/>
  <c r="Q50" i="10"/>
  <c r="O50" i="10"/>
  <c r="M50" i="10"/>
  <c r="K50" i="10"/>
  <c r="I50" i="10"/>
  <c r="G50" i="10"/>
  <c r="Q49" i="10"/>
  <c r="O49" i="10"/>
  <c r="M49" i="10"/>
  <c r="K49" i="10"/>
  <c r="I49" i="10"/>
  <c r="G49" i="10"/>
  <c r="Q48" i="10"/>
  <c r="O48" i="10"/>
  <c r="M48" i="10"/>
  <c r="K48" i="10"/>
  <c r="I48" i="10"/>
  <c r="G48" i="10"/>
  <c r="Q47" i="10"/>
  <c r="O47" i="10"/>
  <c r="M47" i="10"/>
  <c r="K47" i="10"/>
  <c r="I47" i="10"/>
  <c r="G47" i="10"/>
  <c r="Q46" i="10"/>
  <c r="O46" i="10"/>
  <c r="M46" i="10"/>
  <c r="K46" i="10"/>
  <c r="I46" i="10"/>
  <c r="G46" i="10"/>
  <c r="Q45" i="10"/>
  <c r="O45" i="10"/>
  <c r="M45" i="10"/>
  <c r="K45" i="10"/>
  <c r="I45" i="10"/>
  <c r="G45" i="10"/>
  <c r="Q44" i="10"/>
  <c r="O44" i="10"/>
  <c r="M44" i="10"/>
  <c r="K44" i="10"/>
  <c r="I44" i="10"/>
  <c r="G44" i="10"/>
  <c r="Q43" i="10"/>
  <c r="O43" i="10"/>
  <c r="M43" i="10"/>
  <c r="K43" i="10"/>
  <c r="I43" i="10"/>
  <c r="G43" i="10"/>
  <c r="Q42" i="10"/>
  <c r="O42" i="10"/>
  <c r="M42" i="10"/>
  <c r="K42" i="10"/>
  <c r="I42" i="10"/>
  <c r="G42" i="10"/>
  <c r="D33" i="10"/>
  <c r="C33" i="10"/>
  <c r="P32" i="10"/>
  <c r="C18" i="9" s="1"/>
  <c r="O32" i="10"/>
  <c r="N32" i="10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C10" i="9" s="1"/>
  <c r="G32" i="10"/>
  <c r="F32" i="10"/>
  <c r="E32" i="10"/>
  <c r="E33" i="10" s="1"/>
  <c r="D16" i="10"/>
  <c r="C16" i="10"/>
  <c r="P15" i="10"/>
  <c r="O15" i="10"/>
  <c r="O16" i="10" s="1"/>
  <c r="N15" i="10"/>
  <c r="N16" i="10" s="1"/>
  <c r="M15" i="10"/>
  <c r="M16" i="10" s="1"/>
  <c r="L15" i="10"/>
  <c r="L16" i="10" s="1"/>
  <c r="K15" i="10"/>
  <c r="K16" i="10" s="1"/>
  <c r="J15" i="10"/>
  <c r="B12" i="9" s="1"/>
  <c r="I15" i="10"/>
  <c r="H15" i="10"/>
  <c r="G15" i="10"/>
  <c r="G16" i="10" s="1"/>
  <c r="F15" i="10"/>
  <c r="F16" i="10" s="1"/>
  <c r="E15" i="10"/>
  <c r="E16" i="10" s="1"/>
  <c r="N63" i="9"/>
  <c r="N62" i="9"/>
  <c r="N61" i="9"/>
  <c r="N60" i="9"/>
  <c r="N59" i="9"/>
  <c r="N58" i="9"/>
  <c r="N57" i="9"/>
  <c r="N56" i="9"/>
  <c r="N55" i="9"/>
  <c r="N54" i="9"/>
  <c r="N53" i="9"/>
  <c r="N52" i="9"/>
  <c r="N40" i="9"/>
  <c r="N39" i="9"/>
  <c r="N38" i="9"/>
  <c r="N37" i="9"/>
  <c r="B37" i="9"/>
  <c r="N36" i="9"/>
  <c r="N35" i="9"/>
  <c r="N34" i="9"/>
  <c r="N33" i="9"/>
  <c r="N32" i="9"/>
  <c r="N31" i="9"/>
  <c r="N30" i="9"/>
  <c r="N29" i="9"/>
  <c r="N18" i="9"/>
  <c r="N17" i="9"/>
  <c r="N16" i="9"/>
  <c r="N15" i="9"/>
  <c r="C15" i="9"/>
  <c r="B15" i="9"/>
  <c r="N14" i="9"/>
  <c r="B14" i="9"/>
  <c r="N13" i="9"/>
  <c r="B13" i="9"/>
  <c r="N12" i="9"/>
  <c r="N11" i="9"/>
  <c r="C11" i="9"/>
  <c r="N10" i="9"/>
  <c r="N9" i="9"/>
  <c r="N8" i="9"/>
  <c r="N7" i="9"/>
  <c r="C7" i="9"/>
  <c r="B7" i="9"/>
  <c r="N6" i="9"/>
  <c r="C6" i="9"/>
  <c r="B6" i="9"/>
  <c r="N5" i="9"/>
  <c r="C5" i="9"/>
  <c r="B5" i="9"/>
  <c r="P100" i="6"/>
  <c r="N100" i="6"/>
  <c r="L100" i="6"/>
  <c r="J100" i="6"/>
  <c r="I100" i="6"/>
  <c r="P99" i="6"/>
  <c r="N99" i="6"/>
  <c r="L99" i="6"/>
  <c r="J99" i="6"/>
  <c r="I99" i="6"/>
  <c r="P98" i="6"/>
  <c r="N98" i="6"/>
  <c r="L98" i="6"/>
  <c r="J98" i="6"/>
  <c r="I98" i="6"/>
  <c r="P97" i="6"/>
  <c r="N97" i="6"/>
  <c r="L97" i="6"/>
  <c r="J97" i="6"/>
  <c r="I97" i="6"/>
  <c r="P96" i="6"/>
  <c r="N96" i="6"/>
  <c r="L96" i="6"/>
  <c r="J96" i="6"/>
  <c r="I96" i="6"/>
  <c r="P95" i="6"/>
  <c r="N95" i="6"/>
  <c r="L95" i="6"/>
  <c r="J95" i="6"/>
  <c r="I95" i="6"/>
  <c r="P94" i="6"/>
  <c r="N94" i="6"/>
  <c r="L94" i="6"/>
  <c r="J94" i="6"/>
  <c r="I94" i="6"/>
  <c r="P93" i="6"/>
  <c r="N93" i="6"/>
  <c r="L93" i="6"/>
  <c r="J93" i="6"/>
  <c r="I93" i="6"/>
  <c r="P92" i="6"/>
  <c r="N92" i="6"/>
  <c r="L92" i="6"/>
  <c r="J92" i="6"/>
  <c r="I92" i="6"/>
  <c r="P91" i="6"/>
  <c r="N91" i="6"/>
  <c r="L91" i="6"/>
  <c r="J91" i="6"/>
  <c r="I91" i="6"/>
  <c r="P90" i="6"/>
  <c r="N90" i="6"/>
  <c r="L90" i="6"/>
  <c r="J90" i="6"/>
  <c r="I90" i="6"/>
  <c r="P89" i="6"/>
  <c r="N89" i="6"/>
  <c r="L89" i="6"/>
  <c r="J89" i="6"/>
  <c r="I89" i="6"/>
  <c r="P88" i="6"/>
  <c r="N88" i="6"/>
  <c r="L88" i="6"/>
  <c r="J88" i="6"/>
  <c r="I88" i="6"/>
  <c r="P87" i="6"/>
  <c r="N87" i="6"/>
  <c r="L87" i="6"/>
  <c r="J87" i="6"/>
  <c r="I87" i="6"/>
  <c r="P86" i="6"/>
  <c r="N86" i="6"/>
  <c r="L86" i="6"/>
  <c r="J86" i="6"/>
  <c r="I86" i="6"/>
  <c r="P85" i="6"/>
  <c r="N85" i="6"/>
  <c r="L85" i="6"/>
  <c r="J85" i="6"/>
  <c r="I85" i="6"/>
  <c r="P84" i="6"/>
  <c r="N84" i="6"/>
  <c r="L84" i="6"/>
  <c r="J84" i="6"/>
  <c r="I84" i="6"/>
  <c r="P83" i="6"/>
  <c r="N83" i="6"/>
  <c r="L83" i="6"/>
  <c r="J83" i="6"/>
  <c r="I83" i="6"/>
  <c r="P82" i="6"/>
  <c r="N82" i="6"/>
  <c r="L82" i="6"/>
  <c r="J82" i="6"/>
  <c r="I82" i="6"/>
  <c r="P81" i="6"/>
  <c r="N81" i="6"/>
  <c r="L81" i="6"/>
  <c r="J81" i="6"/>
  <c r="I81" i="6"/>
  <c r="P80" i="6"/>
  <c r="N80" i="6"/>
  <c r="L80" i="6"/>
  <c r="J80" i="6"/>
  <c r="I80" i="6"/>
  <c r="P79" i="6"/>
  <c r="N79" i="6"/>
  <c r="L79" i="6"/>
  <c r="J79" i="6"/>
  <c r="I79" i="6"/>
  <c r="P78" i="6"/>
  <c r="N78" i="6"/>
  <c r="L78" i="6"/>
  <c r="J78" i="6"/>
  <c r="I78" i="6"/>
  <c r="P77" i="6"/>
  <c r="N77" i="6"/>
  <c r="L77" i="6"/>
  <c r="J77" i="6"/>
  <c r="I77" i="6"/>
  <c r="P76" i="6"/>
  <c r="N76" i="6"/>
  <c r="L76" i="6"/>
  <c r="J76" i="6"/>
  <c r="I76" i="6"/>
  <c r="P75" i="6"/>
  <c r="N75" i="6"/>
  <c r="L75" i="6"/>
  <c r="J75" i="6"/>
  <c r="I75" i="6"/>
  <c r="P74" i="6"/>
  <c r="N74" i="6"/>
  <c r="L74" i="6"/>
  <c r="J74" i="6"/>
  <c r="I74" i="6"/>
  <c r="P73" i="6"/>
  <c r="N73" i="6"/>
  <c r="L73" i="6"/>
  <c r="J73" i="6"/>
  <c r="I73" i="6"/>
  <c r="P72" i="6"/>
  <c r="N72" i="6"/>
  <c r="L72" i="6"/>
  <c r="J72" i="6"/>
  <c r="I72" i="6"/>
  <c r="P71" i="6"/>
  <c r="N71" i="6"/>
  <c r="L71" i="6"/>
  <c r="J71" i="6"/>
  <c r="I71" i="6"/>
  <c r="P70" i="6"/>
  <c r="N70" i="6"/>
  <c r="L70" i="6"/>
  <c r="J70" i="6"/>
  <c r="I70" i="6"/>
  <c r="P69" i="6"/>
  <c r="N69" i="6"/>
  <c r="L69" i="6"/>
  <c r="J69" i="6"/>
  <c r="I69" i="6"/>
  <c r="P68" i="6"/>
  <c r="N68" i="6"/>
  <c r="L68" i="6"/>
  <c r="J68" i="6"/>
  <c r="I68" i="6"/>
  <c r="P67" i="6"/>
  <c r="N67" i="6"/>
  <c r="L67" i="6"/>
  <c r="J67" i="6"/>
  <c r="I67" i="6"/>
  <c r="P66" i="6"/>
  <c r="N66" i="6"/>
  <c r="L66" i="6"/>
  <c r="J66" i="6"/>
  <c r="I66" i="6"/>
  <c r="P65" i="6"/>
  <c r="N65" i="6"/>
  <c r="L65" i="6"/>
  <c r="J65" i="6"/>
  <c r="I65" i="6"/>
  <c r="P64" i="6"/>
  <c r="N64" i="6"/>
  <c r="L64" i="6"/>
  <c r="J64" i="6"/>
  <c r="I64" i="6"/>
  <c r="P63" i="6"/>
  <c r="N63" i="6"/>
  <c r="L63" i="6"/>
  <c r="J63" i="6"/>
  <c r="I63" i="6"/>
  <c r="P62" i="6"/>
  <c r="N62" i="6"/>
  <c r="L62" i="6"/>
  <c r="J62" i="6"/>
  <c r="I62" i="6"/>
  <c r="P61" i="6"/>
  <c r="N61" i="6"/>
  <c r="L61" i="6"/>
  <c r="J61" i="6"/>
  <c r="I61" i="6"/>
  <c r="P60" i="6"/>
  <c r="N60" i="6"/>
  <c r="L60" i="6"/>
  <c r="J60" i="6"/>
  <c r="I60" i="6"/>
  <c r="P59" i="6"/>
  <c r="N59" i="6"/>
  <c r="L59" i="6"/>
  <c r="J59" i="6"/>
  <c r="I59" i="6"/>
  <c r="P58" i="6"/>
  <c r="N58" i="6"/>
  <c r="L58" i="6"/>
  <c r="J58" i="6"/>
  <c r="I58" i="6"/>
  <c r="P57" i="6"/>
  <c r="N57" i="6"/>
  <c r="L57" i="6"/>
  <c r="J57" i="6"/>
  <c r="I57" i="6"/>
  <c r="P56" i="6"/>
  <c r="N56" i="6"/>
  <c r="L56" i="6"/>
  <c r="J56" i="6"/>
  <c r="I56" i="6"/>
  <c r="P55" i="6"/>
  <c r="N55" i="6"/>
  <c r="L55" i="6"/>
  <c r="J55" i="6"/>
  <c r="I55" i="6"/>
  <c r="P54" i="6"/>
  <c r="N54" i="6"/>
  <c r="L54" i="6"/>
  <c r="J54" i="6"/>
  <c r="I54" i="6"/>
  <c r="P53" i="6"/>
  <c r="N53" i="6"/>
  <c r="L53" i="6"/>
  <c r="J53" i="6"/>
  <c r="I53" i="6"/>
  <c r="P52" i="6"/>
  <c r="N52" i="6"/>
  <c r="L52" i="6"/>
  <c r="J52" i="6"/>
  <c r="I52" i="6"/>
  <c r="P51" i="6"/>
  <c r="N51" i="6"/>
  <c r="L51" i="6"/>
  <c r="J51" i="6"/>
  <c r="I51" i="6"/>
  <c r="P50" i="6"/>
  <c r="N50" i="6"/>
  <c r="L50" i="6"/>
  <c r="J50" i="6"/>
  <c r="I50" i="6"/>
  <c r="P49" i="6"/>
  <c r="N49" i="6"/>
  <c r="L49" i="6"/>
  <c r="J49" i="6"/>
  <c r="I49" i="6"/>
  <c r="P48" i="6"/>
  <c r="N48" i="6"/>
  <c r="L48" i="6"/>
  <c r="J48" i="6"/>
  <c r="I48" i="6"/>
  <c r="P47" i="6"/>
  <c r="N47" i="6"/>
  <c r="L47" i="6"/>
  <c r="J47" i="6"/>
  <c r="I47" i="6"/>
  <c r="P46" i="6"/>
  <c r="N46" i="6"/>
  <c r="L46" i="6"/>
  <c r="J46" i="6"/>
  <c r="I46" i="6"/>
  <c r="P45" i="6"/>
  <c r="N45" i="6"/>
  <c r="L45" i="6"/>
  <c r="J45" i="6"/>
  <c r="I45" i="6"/>
  <c r="P44" i="6"/>
  <c r="N44" i="6"/>
  <c r="L44" i="6"/>
  <c r="J44" i="6"/>
  <c r="I44" i="6"/>
  <c r="P43" i="6"/>
  <c r="N43" i="6"/>
  <c r="L43" i="6"/>
  <c r="J43" i="6"/>
  <c r="I43" i="6"/>
  <c r="P42" i="6"/>
  <c r="N42" i="6"/>
  <c r="L42" i="6"/>
  <c r="J42" i="6"/>
  <c r="I42" i="6"/>
  <c r="P41" i="6"/>
  <c r="N41" i="6"/>
  <c r="L41" i="6"/>
  <c r="J41" i="6"/>
  <c r="I41" i="6"/>
  <c r="P40" i="6"/>
  <c r="N40" i="6"/>
  <c r="L40" i="6"/>
  <c r="J40" i="6"/>
  <c r="I40" i="6"/>
  <c r="P39" i="6"/>
  <c r="N39" i="6"/>
  <c r="L39" i="6"/>
  <c r="J39" i="6"/>
  <c r="I39" i="6"/>
  <c r="P38" i="6"/>
  <c r="N38" i="6"/>
  <c r="L38" i="6"/>
  <c r="J38" i="6"/>
  <c r="I38" i="6"/>
  <c r="P37" i="6"/>
  <c r="N37" i="6"/>
  <c r="L37" i="6"/>
  <c r="J37" i="6"/>
  <c r="I37" i="6"/>
  <c r="P36" i="6"/>
  <c r="N36" i="6"/>
  <c r="L36" i="6"/>
  <c r="J36" i="6"/>
  <c r="I36" i="6"/>
  <c r="P35" i="6"/>
  <c r="N35" i="6"/>
  <c r="L35" i="6"/>
  <c r="J35" i="6"/>
  <c r="I35" i="6"/>
  <c r="P34" i="6"/>
  <c r="N34" i="6"/>
  <c r="L34" i="6"/>
  <c r="J34" i="6"/>
  <c r="I34" i="6"/>
  <c r="P33" i="6"/>
  <c r="N33" i="6"/>
  <c r="L33" i="6"/>
  <c r="J33" i="6"/>
  <c r="I33" i="6"/>
  <c r="P32" i="6"/>
  <c r="N32" i="6"/>
  <c r="L32" i="6"/>
  <c r="J32" i="6"/>
  <c r="I32" i="6"/>
  <c r="P31" i="6"/>
  <c r="N31" i="6"/>
  <c r="L31" i="6"/>
  <c r="J31" i="6"/>
  <c r="I31" i="6"/>
  <c r="P30" i="6"/>
  <c r="N30" i="6"/>
  <c r="L30" i="6"/>
  <c r="J30" i="6"/>
  <c r="I30" i="6"/>
  <c r="I29" i="6"/>
  <c r="P28" i="6"/>
  <c r="N28" i="6"/>
  <c r="D50" i="5" s="1"/>
  <c r="L28" i="6"/>
  <c r="J28" i="6"/>
  <c r="D16" i="5" s="1"/>
  <c r="I28" i="6"/>
  <c r="P27" i="6"/>
  <c r="N27" i="6"/>
  <c r="D49" i="5" s="1"/>
  <c r="L27" i="6"/>
  <c r="J27" i="6"/>
  <c r="I27" i="6"/>
  <c r="P26" i="6"/>
  <c r="D65" i="5" s="1"/>
  <c r="N26" i="6"/>
  <c r="D48" i="5" s="1"/>
  <c r="L26" i="6"/>
  <c r="J26" i="6"/>
  <c r="I26" i="6"/>
  <c r="P25" i="6"/>
  <c r="D64" i="5" s="1"/>
  <c r="N25" i="6"/>
  <c r="L25" i="6"/>
  <c r="J25" i="6"/>
  <c r="I25" i="6"/>
  <c r="P24" i="6"/>
  <c r="N24" i="6"/>
  <c r="L24" i="6"/>
  <c r="J24" i="6"/>
  <c r="D12" i="5" s="1"/>
  <c r="I24" i="6"/>
  <c r="P23" i="6"/>
  <c r="N23" i="6"/>
  <c r="D45" i="5" s="1"/>
  <c r="L23" i="6"/>
  <c r="D28" i="5" s="1"/>
  <c r="J23" i="6"/>
  <c r="I23" i="6"/>
  <c r="P22" i="6"/>
  <c r="N22" i="6"/>
  <c r="D44" i="5" s="1"/>
  <c r="L22" i="6"/>
  <c r="J22" i="6"/>
  <c r="I22" i="6"/>
  <c r="P21" i="6"/>
  <c r="D60" i="5" s="1"/>
  <c r="N21" i="6"/>
  <c r="L21" i="6"/>
  <c r="J21" i="6"/>
  <c r="I21" i="6"/>
  <c r="P20" i="6"/>
  <c r="N20" i="6"/>
  <c r="D42" i="5" s="1"/>
  <c r="L20" i="6"/>
  <c r="D25" i="5" s="1"/>
  <c r="J20" i="6"/>
  <c r="I20" i="6"/>
  <c r="P19" i="6"/>
  <c r="D58" i="5" s="1"/>
  <c r="N19" i="6"/>
  <c r="D41" i="5" s="1"/>
  <c r="L19" i="6"/>
  <c r="D24" i="5" s="1"/>
  <c r="J19" i="6"/>
  <c r="I19" i="6"/>
  <c r="P18" i="6"/>
  <c r="N18" i="6"/>
  <c r="D40" i="5" s="1"/>
  <c r="L18" i="6"/>
  <c r="M18" i="6" s="1"/>
  <c r="J18" i="6"/>
  <c r="I18" i="6"/>
  <c r="P17" i="6"/>
  <c r="Q17" i="6" s="1"/>
  <c r="N17" i="6"/>
  <c r="O17" i="6" s="1"/>
  <c r="L17" i="6"/>
  <c r="M17" i="6" s="1"/>
  <c r="J17" i="6"/>
  <c r="K17" i="6" s="1"/>
  <c r="I17" i="6"/>
  <c r="P16" i="6"/>
  <c r="C67" i="5" s="1"/>
  <c r="N16" i="6"/>
  <c r="L16" i="6"/>
  <c r="J16" i="6"/>
  <c r="I16" i="6"/>
  <c r="P15" i="6"/>
  <c r="C66" i="5" s="1"/>
  <c r="N15" i="6"/>
  <c r="L15" i="6"/>
  <c r="J15" i="6"/>
  <c r="I15" i="6"/>
  <c r="P14" i="6"/>
  <c r="C65" i="5" s="1"/>
  <c r="N14" i="6"/>
  <c r="L14" i="6"/>
  <c r="C31" i="5" s="1"/>
  <c r="J14" i="6"/>
  <c r="I14" i="6"/>
  <c r="P13" i="6"/>
  <c r="C64" i="5" s="1"/>
  <c r="N13" i="6"/>
  <c r="L13" i="6"/>
  <c r="C30" i="5" s="1"/>
  <c r="J13" i="6"/>
  <c r="I13" i="6"/>
  <c r="P12" i="6"/>
  <c r="N12" i="6"/>
  <c r="L12" i="6"/>
  <c r="J12" i="6"/>
  <c r="C12" i="5" s="1"/>
  <c r="I12" i="6"/>
  <c r="P11" i="6"/>
  <c r="N11" i="6"/>
  <c r="L11" i="6"/>
  <c r="C28" i="5" s="1"/>
  <c r="J11" i="6"/>
  <c r="I11" i="6"/>
  <c r="P10" i="6"/>
  <c r="C61" i="5" s="1"/>
  <c r="N10" i="6"/>
  <c r="L10" i="6"/>
  <c r="J10" i="6"/>
  <c r="I10" i="6"/>
  <c r="P9" i="6"/>
  <c r="C60" i="5" s="1"/>
  <c r="N9" i="6"/>
  <c r="L9" i="6"/>
  <c r="C26" i="5" s="1"/>
  <c r="J9" i="6"/>
  <c r="I9" i="6"/>
  <c r="P8" i="6"/>
  <c r="N8" i="6"/>
  <c r="C42" i="5" s="1"/>
  <c r="L8" i="6"/>
  <c r="J8" i="6"/>
  <c r="C8" i="5" s="1"/>
  <c r="I8" i="6"/>
  <c r="P7" i="6"/>
  <c r="C58" i="5" s="1"/>
  <c r="N7" i="6"/>
  <c r="L7" i="6"/>
  <c r="C24" i="5" s="1"/>
  <c r="J7" i="6"/>
  <c r="I7" i="6"/>
  <c r="P6" i="6"/>
  <c r="C57" i="5" s="1"/>
  <c r="N6" i="6"/>
  <c r="C40" i="5" s="1"/>
  <c r="L6" i="6"/>
  <c r="J6" i="6"/>
  <c r="I6" i="6"/>
  <c r="P5" i="6"/>
  <c r="Q5" i="6" s="1"/>
  <c r="N5" i="6"/>
  <c r="O5" i="6" s="1"/>
  <c r="L5" i="6"/>
  <c r="M5" i="6" s="1"/>
  <c r="J5" i="6"/>
  <c r="K5" i="6" s="1"/>
  <c r="I5" i="6"/>
  <c r="E84" i="5"/>
  <c r="E83" i="5"/>
  <c r="E82" i="5"/>
  <c r="E81" i="5"/>
  <c r="E80" i="5"/>
  <c r="E79" i="5"/>
  <c r="E78" i="5"/>
  <c r="E77" i="5"/>
  <c r="E76" i="5"/>
  <c r="E75" i="5"/>
  <c r="E74" i="5"/>
  <c r="E73" i="5"/>
  <c r="E68" i="5"/>
  <c r="D67" i="5"/>
  <c r="D66" i="5"/>
  <c r="D63" i="5"/>
  <c r="C63" i="5"/>
  <c r="D62" i="5"/>
  <c r="C62" i="5"/>
  <c r="D61" i="5"/>
  <c r="D59" i="5"/>
  <c r="C59" i="5"/>
  <c r="D57" i="5"/>
  <c r="D56" i="5"/>
  <c r="E51" i="5"/>
  <c r="C49" i="5"/>
  <c r="C48" i="5"/>
  <c r="D47" i="5"/>
  <c r="C47" i="5"/>
  <c r="C46" i="5"/>
  <c r="C45" i="5"/>
  <c r="C44" i="5"/>
  <c r="C43" i="5"/>
  <c r="C41" i="5"/>
  <c r="D39" i="5"/>
  <c r="C39" i="5"/>
  <c r="E34" i="5"/>
  <c r="D33" i="5"/>
  <c r="C33" i="5"/>
  <c r="D32" i="5"/>
  <c r="C32" i="5"/>
  <c r="D31" i="5"/>
  <c r="D30" i="5"/>
  <c r="D29" i="5"/>
  <c r="C29" i="5"/>
  <c r="D27" i="5"/>
  <c r="C27" i="5"/>
  <c r="D26" i="5"/>
  <c r="C25" i="5"/>
  <c r="D23" i="5"/>
  <c r="C23" i="5"/>
  <c r="D22" i="5"/>
  <c r="E17" i="5"/>
  <c r="C16" i="5"/>
  <c r="D15" i="5"/>
  <c r="C15" i="5"/>
  <c r="D14" i="5"/>
  <c r="C14" i="5"/>
  <c r="C13" i="5"/>
  <c r="D11" i="5"/>
  <c r="C11" i="5"/>
  <c r="D10" i="5"/>
  <c r="C10" i="5"/>
  <c r="D9" i="5"/>
  <c r="C9" i="5"/>
  <c r="D8" i="5"/>
  <c r="D7" i="5"/>
  <c r="C7" i="5"/>
  <c r="D6" i="5"/>
  <c r="C6" i="5"/>
  <c r="D5" i="5"/>
  <c r="R24" i="4"/>
  <c r="P24" i="4"/>
  <c r="N24" i="4"/>
  <c r="L24" i="4"/>
  <c r="R23" i="4"/>
  <c r="P23" i="4"/>
  <c r="N23" i="4"/>
  <c r="L23" i="4"/>
  <c r="R22" i="4"/>
  <c r="P22" i="4"/>
  <c r="N22" i="4"/>
  <c r="L22" i="4"/>
  <c r="R21" i="4"/>
  <c r="P21" i="4"/>
  <c r="N21" i="4"/>
  <c r="L21" i="4"/>
  <c r="R20" i="4"/>
  <c r="P20" i="4"/>
  <c r="N20" i="4"/>
  <c r="L20" i="4"/>
  <c r="R16" i="4"/>
  <c r="P16" i="4"/>
  <c r="N16" i="4"/>
  <c r="N6" i="21" s="1"/>
  <c r="L16" i="4"/>
  <c r="E16" i="4"/>
  <c r="G16" i="4" s="1"/>
  <c r="E15" i="4"/>
  <c r="R15" i="4" s="1"/>
  <c r="P14" i="4"/>
  <c r="N14" i="4"/>
  <c r="J6" i="21" s="1"/>
  <c r="L14" i="4"/>
  <c r="G14" i="4"/>
  <c r="E14" i="4"/>
  <c r="R14" i="4" s="1"/>
  <c r="E13" i="4"/>
  <c r="R13" i="4" s="1"/>
  <c r="E12" i="4"/>
  <c r="G12" i="4" s="1"/>
  <c r="E11" i="4"/>
  <c r="N11" i="4" s="1"/>
  <c r="F6" i="21" s="1"/>
  <c r="P10" i="4"/>
  <c r="L10" i="4"/>
  <c r="E10" i="4"/>
  <c r="R10" i="4" s="1"/>
  <c r="E9" i="4"/>
  <c r="G9" i="4" s="1"/>
  <c r="E8" i="4"/>
  <c r="P8" i="4" s="1"/>
  <c r="P7" i="4"/>
  <c r="N7" i="4"/>
  <c r="L7" i="4"/>
  <c r="G7" i="4"/>
  <c r="E7" i="4"/>
  <c r="R7" i="4" s="1"/>
  <c r="R6" i="4"/>
  <c r="P6" i="4"/>
  <c r="N6" i="4"/>
  <c r="L6" i="4"/>
  <c r="G6" i="4"/>
  <c r="R5" i="4"/>
  <c r="P5" i="4"/>
  <c r="L5" i="4"/>
  <c r="E5" i="4"/>
  <c r="G5" i="4" s="1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C51" i="3" s="1"/>
  <c r="E39" i="3"/>
  <c r="D39" i="3"/>
  <c r="C39" i="3"/>
  <c r="K34" i="3"/>
  <c r="J34" i="3"/>
  <c r="I34" i="3"/>
  <c r="E34" i="3"/>
  <c r="D34" i="3"/>
  <c r="B18" i="2" s="1"/>
  <c r="C34" i="3"/>
  <c r="K17" i="3"/>
  <c r="J17" i="3"/>
  <c r="H18" i="2" s="1"/>
  <c r="I17" i="3"/>
  <c r="E17" i="3"/>
  <c r="D17" i="3"/>
  <c r="D18" i="2" s="1"/>
  <c r="C17" i="3"/>
  <c r="D17" i="2" s="1"/>
  <c r="H17" i="2"/>
  <c r="B17" i="2"/>
  <c r="F16" i="2"/>
  <c r="G16" i="2" s="1"/>
  <c r="E16" i="2"/>
  <c r="C16" i="2"/>
  <c r="F15" i="2"/>
  <c r="E15" i="2"/>
  <c r="C15" i="2"/>
  <c r="F14" i="2"/>
  <c r="E14" i="2"/>
  <c r="C14" i="2"/>
  <c r="F13" i="2"/>
  <c r="E13" i="2"/>
  <c r="C13" i="2"/>
  <c r="F12" i="2"/>
  <c r="G12" i="2" s="1"/>
  <c r="E12" i="2"/>
  <c r="C12" i="2"/>
  <c r="F11" i="2"/>
  <c r="G11" i="2" s="1"/>
  <c r="E11" i="2"/>
  <c r="C11" i="2"/>
  <c r="F10" i="2"/>
  <c r="G10" i="2" s="1"/>
  <c r="E10" i="2"/>
  <c r="C10" i="2"/>
  <c r="F9" i="2"/>
  <c r="G9" i="2" s="1"/>
  <c r="E9" i="2"/>
  <c r="C9" i="2"/>
  <c r="F8" i="2"/>
  <c r="G8" i="2" s="1"/>
  <c r="E8" i="2"/>
  <c r="C8" i="2"/>
  <c r="F7" i="2"/>
  <c r="F6" i="2"/>
  <c r="F5" i="2"/>
  <c r="K17" i="1"/>
  <c r="L17" i="1" s="1"/>
  <c r="K16" i="1"/>
  <c r="L16" i="1" s="1"/>
  <c r="D16" i="1"/>
  <c r="E16" i="1" s="1"/>
  <c r="B16" i="1"/>
  <c r="K15" i="1"/>
  <c r="L15" i="1" s="1"/>
  <c r="D15" i="1"/>
  <c r="E15" i="1" s="1"/>
  <c r="B15" i="1"/>
  <c r="K14" i="1"/>
  <c r="L14" i="1" s="1"/>
  <c r="D14" i="1"/>
  <c r="B14" i="1"/>
  <c r="K13" i="1"/>
  <c r="L13" i="1" s="1"/>
  <c r="H8" i="21" s="1"/>
  <c r="D13" i="1"/>
  <c r="B13" i="1"/>
  <c r="C13" i="1" s="1"/>
  <c r="D12" i="1"/>
  <c r="B12" i="1"/>
  <c r="C12" i="1" s="1"/>
  <c r="D11" i="1"/>
  <c r="B11" i="1"/>
  <c r="C11" i="1" s="1"/>
  <c r="D10" i="1"/>
  <c r="E10" i="1" s="1"/>
  <c r="B10" i="1"/>
  <c r="C10" i="1" s="1"/>
  <c r="D9" i="1"/>
  <c r="B9" i="1"/>
  <c r="D8" i="1"/>
  <c r="E9" i="1" s="1"/>
  <c r="B8" i="1"/>
  <c r="D7" i="1"/>
  <c r="B7" i="1"/>
  <c r="D6" i="1"/>
  <c r="B6" i="1"/>
  <c r="D5" i="1"/>
  <c r="B5" i="1"/>
  <c r="E14" i="1" l="1"/>
  <c r="E11" i="1"/>
  <c r="C14" i="1"/>
  <c r="E8" i="1"/>
  <c r="C9" i="1"/>
  <c r="E13" i="1"/>
  <c r="C15" i="1"/>
  <c r="E12" i="1"/>
  <c r="C8" i="1"/>
  <c r="E58" i="12"/>
  <c r="K18" i="6"/>
  <c r="K19" i="6" s="1"/>
  <c r="C56" i="5"/>
  <c r="C68" i="5" s="1"/>
  <c r="F17" i="4" s="1"/>
  <c r="D68" i="5"/>
  <c r="F18" i="4" s="1"/>
  <c r="C5" i="5"/>
  <c r="C22" i="5"/>
  <c r="Q18" i="6"/>
  <c r="Q19" i="6"/>
  <c r="Q20" i="6" s="1"/>
  <c r="K6" i="6"/>
  <c r="K7" i="6" s="1"/>
  <c r="K8" i="6" s="1"/>
  <c r="K9" i="6" s="1"/>
  <c r="K10" i="6" s="1"/>
  <c r="K11" i="6" s="1"/>
  <c r="K12" i="6" s="1"/>
  <c r="K13" i="6" s="1"/>
  <c r="K14" i="6" s="1"/>
  <c r="K15" i="6" s="1"/>
  <c r="K16" i="6" s="1"/>
  <c r="M6" i="6"/>
  <c r="M7" i="6" s="1"/>
  <c r="M8" i="6" s="1"/>
  <c r="M9" i="6" s="1"/>
  <c r="M10" i="6" s="1"/>
  <c r="M11" i="6" s="1"/>
  <c r="M12" i="6" s="1"/>
  <c r="M13" i="6" s="1"/>
  <c r="M14" i="6" s="1"/>
  <c r="M15" i="6" s="1"/>
  <c r="M16" i="6" s="1"/>
  <c r="D83" i="5"/>
  <c r="Q6" i="6"/>
  <c r="O18" i="6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O46" i="6" s="1"/>
  <c r="O47" i="6" s="1"/>
  <c r="O48" i="6" s="1"/>
  <c r="O49" i="6" s="1"/>
  <c r="O50" i="6" s="1"/>
  <c r="O51" i="6" s="1"/>
  <c r="O52" i="6" s="1"/>
  <c r="O53" i="6" s="1"/>
  <c r="O54" i="6" s="1"/>
  <c r="O55" i="6" s="1"/>
  <c r="O56" i="6" s="1"/>
  <c r="O57" i="6" s="1"/>
  <c r="O58" i="6" s="1"/>
  <c r="O59" i="6" s="1"/>
  <c r="O60" i="6" s="1"/>
  <c r="O61" i="6" s="1"/>
  <c r="O62" i="6" s="1"/>
  <c r="O63" i="6" s="1"/>
  <c r="O64" i="6" s="1"/>
  <c r="O65" i="6" s="1"/>
  <c r="O66" i="6" s="1"/>
  <c r="O67" i="6" s="1"/>
  <c r="O68" i="6" s="1"/>
  <c r="O69" i="6" s="1"/>
  <c r="O70" i="6" s="1"/>
  <c r="O71" i="6" s="1"/>
  <c r="O72" i="6" s="1"/>
  <c r="O73" i="6" s="1"/>
  <c r="O74" i="6" s="1"/>
  <c r="O75" i="6" s="1"/>
  <c r="O76" i="6" s="1"/>
  <c r="O77" i="6" s="1"/>
  <c r="O78" i="6" s="1"/>
  <c r="O79" i="6" s="1"/>
  <c r="O80" i="6" s="1"/>
  <c r="O81" i="6" s="1"/>
  <c r="O82" i="6" s="1"/>
  <c r="O83" i="6" s="1"/>
  <c r="O84" i="6" s="1"/>
  <c r="O85" i="6" s="1"/>
  <c r="O86" i="6" s="1"/>
  <c r="O87" i="6" s="1"/>
  <c r="O88" i="6" s="1"/>
  <c r="O89" i="6" s="1"/>
  <c r="O90" i="6" s="1"/>
  <c r="O91" i="6" s="1"/>
  <c r="O92" i="6" s="1"/>
  <c r="O93" i="6" s="1"/>
  <c r="O94" i="6" s="1"/>
  <c r="O95" i="6" s="1"/>
  <c r="O96" i="6" s="1"/>
  <c r="O97" i="6" s="1"/>
  <c r="O98" i="6" s="1"/>
  <c r="O99" i="6" s="1"/>
  <c r="O100" i="6" s="1"/>
  <c r="M19" i="6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E34" i="12"/>
  <c r="F41" i="3"/>
  <c r="E51" i="12"/>
  <c r="E57" i="12"/>
  <c r="E56" i="12"/>
  <c r="E17" i="12"/>
  <c r="E85" i="5"/>
  <c r="E51" i="3"/>
  <c r="C14" i="9"/>
  <c r="O9" i="21"/>
  <c r="M9" i="21"/>
  <c r="K9" i="21"/>
  <c r="D51" i="3"/>
  <c r="I18" i="2"/>
  <c r="C34" i="12"/>
  <c r="S76" i="10"/>
  <c r="S77" i="10" s="1"/>
  <c r="C12" i="9"/>
  <c r="G54" i="10"/>
  <c r="G55" i="10" s="1"/>
  <c r="B30" i="9" s="1"/>
  <c r="K76" i="10"/>
  <c r="K77" i="10" s="1"/>
  <c r="B8" i="9"/>
  <c r="K54" i="10"/>
  <c r="K55" i="10" s="1"/>
  <c r="B32" i="9" s="1"/>
  <c r="C13" i="9"/>
  <c r="B16" i="9"/>
  <c r="B9" i="9"/>
  <c r="J16" i="10"/>
  <c r="C58" i="12"/>
  <c r="C62" i="12"/>
  <c r="C66" i="12"/>
  <c r="D58" i="12"/>
  <c r="D62" i="12"/>
  <c r="D66" i="12"/>
  <c r="B17" i="9"/>
  <c r="C59" i="12"/>
  <c r="C63" i="12"/>
  <c r="C67" i="12"/>
  <c r="P33" i="10"/>
  <c r="D5" i="9"/>
  <c r="O5" i="9" s="1"/>
  <c r="D7" i="9"/>
  <c r="K7" i="9" s="1"/>
  <c r="D6" i="9"/>
  <c r="K6" i="9" s="1"/>
  <c r="D37" i="9"/>
  <c r="O37" i="9" s="1"/>
  <c r="D32" i="9"/>
  <c r="I32" i="9" s="1"/>
  <c r="D15" i="9"/>
  <c r="M15" i="9" s="1"/>
  <c r="D30" i="9"/>
  <c r="M30" i="9" s="1"/>
  <c r="D28" i="9"/>
  <c r="I28" i="9" s="1"/>
  <c r="D29" i="9"/>
  <c r="O29" i="9" s="1"/>
  <c r="P9" i="4"/>
  <c r="L19" i="4"/>
  <c r="P12" i="4"/>
  <c r="R9" i="4"/>
  <c r="P13" i="4"/>
  <c r="F9" i="23"/>
  <c r="J9" i="23"/>
  <c r="H9" i="23"/>
  <c r="U4" i="17"/>
  <c r="S4" i="17"/>
  <c r="Q4" i="17"/>
  <c r="O4" i="17"/>
  <c r="U10" i="17"/>
  <c r="S9" i="17"/>
  <c r="Q9" i="17"/>
  <c r="I6" i="23" s="1"/>
  <c r="O9" i="17"/>
  <c r="U9" i="17"/>
  <c r="U11" i="17"/>
  <c r="Q6" i="17"/>
  <c r="D6" i="23" s="1"/>
  <c r="O6" i="17"/>
  <c r="U6" i="17"/>
  <c r="S6" i="17"/>
  <c r="O10" i="17"/>
  <c r="O11" i="17"/>
  <c r="U8" i="17"/>
  <c r="S8" i="17"/>
  <c r="Q8" i="17"/>
  <c r="G6" i="23" s="1"/>
  <c r="O8" i="17"/>
  <c r="Q10" i="17"/>
  <c r="K6" i="23" s="1"/>
  <c r="U5" i="17"/>
  <c r="S5" i="17"/>
  <c r="Q5" i="17"/>
  <c r="O5" i="17"/>
  <c r="Q11" i="17"/>
  <c r="M6" i="23" s="1"/>
  <c r="S10" i="17"/>
  <c r="U7" i="17"/>
  <c r="S7" i="17"/>
  <c r="Q7" i="17"/>
  <c r="E6" i="23" s="1"/>
  <c r="O7" i="17"/>
  <c r="S11" i="17"/>
  <c r="F18" i="2"/>
  <c r="R10" i="21" s="1"/>
  <c r="B18" i="1"/>
  <c r="C18" i="2"/>
  <c r="G5" i="21"/>
  <c r="L8" i="21"/>
  <c r="M15" i="1"/>
  <c r="P9" i="21"/>
  <c r="Q9" i="21" s="1"/>
  <c r="E17" i="2"/>
  <c r="D17" i="1"/>
  <c r="E17" i="1" s="1"/>
  <c r="F17" i="2"/>
  <c r="N8" i="21"/>
  <c r="M16" i="1"/>
  <c r="J8" i="21"/>
  <c r="K8" i="21" s="1"/>
  <c r="M14" i="1"/>
  <c r="M17" i="1"/>
  <c r="M18" i="1"/>
  <c r="R9" i="21"/>
  <c r="D18" i="1"/>
  <c r="E18" i="1" s="1"/>
  <c r="E18" i="2"/>
  <c r="D5" i="21"/>
  <c r="C74" i="5"/>
  <c r="C16" i="1"/>
  <c r="C17" i="2"/>
  <c r="L8" i="4"/>
  <c r="B17" i="1"/>
  <c r="C17" i="1" s="1"/>
  <c r="R8" i="4"/>
  <c r="L9" i="4"/>
  <c r="P11" i="4"/>
  <c r="G15" i="4"/>
  <c r="C76" i="5"/>
  <c r="C81" i="5"/>
  <c r="N5" i="4"/>
  <c r="N9" i="4"/>
  <c r="D6" i="21" s="1"/>
  <c r="G10" i="4"/>
  <c r="R11" i="4"/>
  <c r="L12" i="4"/>
  <c r="D43" i="5"/>
  <c r="D76" i="5"/>
  <c r="O6" i="6"/>
  <c r="O7" i="6" s="1"/>
  <c r="O8" i="6" s="1"/>
  <c r="O9" i="6" s="1"/>
  <c r="O10" i="6" s="1"/>
  <c r="O11" i="6" s="1"/>
  <c r="O12" i="6" s="1"/>
  <c r="O13" i="6" s="1"/>
  <c r="O14" i="6" s="1"/>
  <c r="O15" i="6" s="1"/>
  <c r="O16" i="6" s="1"/>
  <c r="Q21" i="6"/>
  <c r="N12" i="4"/>
  <c r="G6" i="21" s="1"/>
  <c r="G13" i="4"/>
  <c r="L15" i="4"/>
  <c r="D74" i="5"/>
  <c r="C79" i="5"/>
  <c r="Q7" i="6"/>
  <c r="Q8" i="6" s="1"/>
  <c r="Q9" i="6" s="1"/>
  <c r="Q10" i="6" s="1"/>
  <c r="Q11" i="6" s="1"/>
  <c r="Q12" i="6" s="1"/>
  <c r="Q13" i="6" s="1"/>
  <c r="Q14" i="6" s="1"/>
  <c r="Q15" i="6" s="1"/>
  <c r="Q16" i="6" s="1"/>
  <c r="N15" i="4"/>
  <c r="L6" i="21" s="1"/>
  <c r="M6" i="21" s="1"/>
  <c r="N5" i="21"/>
  <c r="D13" i="5"/>
  <c r="D17" i="5" s="1"/>
  <c r="B18" i="4" s="1"/>
  <c r="C77" i="5"/>
  <c r="D79" i="5"/>
  <c r="D84" i="5"/>
  <c r="K20" i="6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K59" i="6" s="1"/>
  <c r="K60" i="6" s="1"/>
  <c r="K61" i="6" s="1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K95" i="6" s="1"/>
  <c r="K96" i="6" s="1"/>
  <c r="K97" i="6" s="1"/>
  <c r="K98" i="6" s="1"/>
  <c r="K99" i="6" s="1"/>
  <c r="K100" i="6" s="1"/>
  <c r="N10" i="4"/>
  <c r="E6" i="21" s="1"/>
  <c r="G11" i="4"/>
  <c r="R12" i="4"/>
  <c r="L13" i="4"/>
  <c r="P15" i="4"/>
  <c r="C75" i="5"/>
  <c r="C82" i="5"/>
  <c r="Q22" i="6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Q43" i="6" s="1"/>
  <c r="Q44" i="6" s="1"/>
  <c r="Q45" i="6" s="1"/>
  <c r="Q46" i="6" s="1"/>
  <c r="Q47" i="6" s="1"/>
  <c r="Q48" i="6" s="1"/>
  <c r="Q49" i="6" s="1"/>
  <c r="Q50" i="6" s="1"/>
  <c r="Q51" i="6" s="1"/>
  <c r="Q52" i="6" s="1"/>
  <c r="Q53" i="6" s="1"/>
  <c r="Q54" i="6" s="1"/>
  <c r="Q55" i="6" s="1"/>
  <c r="Q56" i="6" s="1"/>
  <c r="Q57" i="6" s="1"/>
  <c r="Q58" i="6" s="1"/>
  <c r="Q59" i="6" s="1"/>
  <c r="Q60" i="6" s="1"/>
  <c r="Q61" i="6" s="1"/>
  <c r="Q62" i="6" s="1"/>
  <c r="Q63" i="6" s="1"/>
  <c r="Q64" i="6" s="1"/>
  <c r="Q65" i="6" s="1"/>
  <c r="Q66" i="6" s="1"/>
  <c r="Q67" i="6" s="1"/>
  <c r="Q68" i="6" s="1"/>
  <c r="Q69" i="6" s="1"/>
  <c r="Q70" i="6" s="1"/>
  <c r="Q71" i="6" s="1"/>
  <c r="Q72" i="6" s="1"/>
  <c r="Q73" i="6" s="1"/>
  <c r="Q74" i="6" s="1"/>
  <c r="Q75" i="6" s="1"/>
  <c r="Q76" i="6" s="1"/>
  <c r="Q77" i="6" s="1"/>
  <c r="Q78" i="6" s="1"/>
  <c r="Q79" i="6" s="1"/>
  <c r="Q80" i="6" s="1"/>
  <c r="Q81" i="6" s="1"/>
  <c r="Q82" i="6" s="1"/>
  <c r="Q83" i="6" s="1"/>
  <c r="Q84" i="6" s="1"/>
  <c r="Q85" i="6" s="1"/>
  <c r="Q86" i="6" s="1"/>
  <c r="Q87" i="6" s="1"/>
  <c r="Q88" i="6" s="1"/>
  <c r="Q89" i="6" s="1"/>
  <c r="Q90" i="6" s="1"/>
  <c r="Q91" i="6" s="1"/>
  <c r="Q92" i="6" s="1"/>
  <c r="Q93" i="6" s="1"/>
  <c r="Q94" i="6" s="1"/>
  <c r="Q95" i="6" s="1"/>
  <c r="Q96" i="6" s="1"/>
  <c r="Q97" i="6" s="1"/>
  <c r="Q98" i="6" s="1"/>
  <c r="Q99" i="6" s="1"/>
  <c r="Q100" i="6" s="1"/>
  <c r="N13" i="4"/>
  <c r="H6" i="21" s="1"/>
  <c r="J5" i="21"/>
  <c r="C34" i="5"/>
  <c r="C17" i="4" s="1"/>
  <c r="D75" i="5"/>
  <c r="C80" i="5"/>
  <c r="D82" i="5"/>
  <c r="G8" i="4"/>
  <c r="C5" i="21" s="1"/>
  <c r="N8" i="4"/>
  <c r="C6" i="21" s="1"/>
  <c r="L11" i="4"/>
  <c r="D34" i="5"/>
  <c r="C18" i="4" s="1"/>
  <c r="C50" i="5"/>
  <c r="C78" i="5"/>
  <c r="G14" i="2"/>
  <c r="G13" i="2"/>
  <c r="G15" i="2"/>
  <c r="D46" i="5"/>
  <c r="D73" i="5"/>
  <c r="D78" i="5"/>
  <c r="C83" i="5"/>
  <c r="D13" i="9"/>
  <c r="D82" i="9" s="1"/>
  <c r="B38" i="9"/>
  <c r="D38" i="9" s="1"/>
  <c r="F33" i="10"/>
  <c r="C8" i="9"/>
  <c r="D8" i="9" s="1"/>
  <c r="O8" i="9" s="1"/>
  <c r="N33" i="10"/>
  <c r="C16" i="9"/>
  <c r="D16" i="9" s="1"/>
  <c r="O16" i="9" s="1"/>
  <c r="B10" i="13"/>
  <c r="M10" i="13" s="1"/>
  <c r="I37" i="9"/>
  <c r="H16" i="10"/>
  <c r="B10" i="9"/>
  <c r="D10" i="9" s="1"/>
  <c r="D79" i="9" s="1"/>
  <c r="P16" i="10"/>
  <c r="B18" i="9"/>
  <c r="D18" i="9" s="1"/>
  <c r="G33" i="10"/>
  <c r="C9" i="9"/>
  <c r="O33" i="10"/>
  <c r="C17" i="9"/>
  <c r="D17" i="9" s="1"/>
  <c r="B39" i="9"/>
  <c r="D39" i="9" s="1"/>
  <c r="O39" i="9" s="1"/>
  <c r="I16" i="10"/>
  <c r="B11" i="9"/>
  <c r="D11" i="9" s="1"/>
  <c r="O11" i="9" s="1"/>
  <c r="I54" i="10"/>
  <c r="I55" i="10" s="1"/>
  <c r="B31" i="9" s="1"/>
  <c r="D31" i="9" s="1"/>
  <c r="O31" i="9" s="1"/>
  <c r="B11" i="13"/>
  <c r="P12" i="21" s="1"/>
  <c r="F10" i="21"/>
  <c r="D12" i="9"/>
  <c r="D14" i="9"/>
  <c r="B6" i="13"/>
  <c r="M54" i="10"/>
  <c r="M55" i="10" s="1"/>
  <c r="B33" i="9" s="1"/>
  <c r="D33" i="9" s="1"/>
  <c r="B36" i="9"/>
  <c r="D36" i="9" s="1"/>
  <c r="O36" i="9" s="1"/>
  <c r="H33" i="10"/>
  <c r="O54" i="10"/>
  <c r="O55" i="10" s="1"/>
  <c r="B34" i="9" s="1"/>
  <c r="D34" i="9" s="1"/>
  <c r="B7" i="13"/>
  <c r="Q54" i="10"/>
  <c r="Q55" i="10" s="1"/>
  <c r="B35" i="9" s="1"/>
  <c r="D35" i="9" s="1"/>
  <c r="C76" i="10"/>
  <c r="C77" i="10" s="1"/>
  <c r="O76" i="10"/>
  <c r="O77" i="10" s="1"/>
  <c r="D59" i="12"/>
  <c r="D63" i="12"/>
  <c r="D67" i="12"/>
  <c r="B8" i="13"/>
  <c r="J12" i="21" s="1"/>
  <c r="B12" i="13"/>
  <c r="R12" i="21" s="1"/>
  <c r="C56" i="12"/>
  <c r="C60" i="12"/>
  <c r="C64" i="12"/>
  <c r="D60" i="12"/>
  <c r="D64" i="12"/>
  <c r="I5" i="9"/>
  <c r="I7" i="9"/>
  <c r="C51" i="12"/>
  <c r="M5" i="13"/>
  <c r="K5" i="13"/>
  <c r="I5" i="13"/>
  <c r="G5" i="13"/>
  <c r="B9" i="13"/>
  <c r="C57" i="12"/>
  <c r="C61" i="12"/>
  <c r="C65" i="12"/>
  <c r="Q76" i="10"/>
  <c r="Q77" i="10" s="1"/>
  <c r="D39" i="12"/>
  <c r="D56" i="12" s="1"/>
  <c r="D57" i="12"/>
  <c r="D61" i="12"/>
  <c r="D65" i="12"/>
  <c r="N12" i="21"/>
  <c r="C17" i="12"/>
  <c r="H29" i="16"/>
  <c r="L10" i="21"/>
  <c r="D17" i="12"/>
  <c r="I29" i="16"/>
  <c r="J29" i="16"/>
  <c r="N10" i="21"/>
  <c r="O10" i="21" s="1"/>
  <c r="K29" i="16"/>
  <c r="G10" i="21"/>
  <c r="H10" i="21"/>
  <c r="P10" i="21"/>
  <c r="F29" i="16"/>
  <c r="J10" i="21"/>
  <c r="E68" i="12" l="1"/>
  <c r="D77" i="5"/>
  <c r="C17" i="5"/>
  <c r="B17" i="4" s="1"/>
  <c r="C73" i="5"/>
  <c r="N19" i="4"/>
  <c r="P19" i="4"/>
  <c r="R19" i="4"/>
  <c r="Q10" i="21"/>
  <c r="Q12" i="21"/>
  <c r="O6" i="21"/>
  <c r="O8" i="21"/>
  <c r="M8" i="21"/>
  <c r="I10" i="21"/>
  <c r="D9" i="9"/>
  <c r="M7" i="9"/>
  <c r="M5" i="9"/>
  <c r="I6" i="9"/>
  <c r="M8" i="13"/>
  <c r="D87" i="9"/>
  <c r="E18" i="9"/>
  <c r="M6" i="9"/>
  <c r="K28" i="9"/>
  <c r="M28" i="9"/>
  <c r="O28" i="9"/>
  <c r="O6" i="9"/>
  <c r="K5" i="9"/>
  <c r="B51" i="9"/>
  <c r="D51" i="9" s="1"/>
  <c r="C74" i="9" s="1"/>
  <c r="D74" i="9"/>
  <c r="K29" i="9"/>
  <c r="O7" i="9"/>
  <c r="D76" i="9"/>
  <c r="K32" i="9"/>
  <c r="M37" i="9"/>
  <c r="K37" i="9"/>
  <c r="I15" i="9"/>
  <c r="E37" i="9"/>
  <c r="O15" i="9"/>
  <c r="K15" i="9"/>
  <c r="D84" i="9"/>
  <c r="O10" i="9"/>
  <c r="O30" i="9"/>
  <c r="B61" i="9"/>
  <c r="D61" i="9" s="1"/>
  <c r="K61" i="9" s="1"/>
  <c r="B53" i="9"/>
  <c r="D53" i="9" s="1"/>
  <c r="I53" i="9" s="1"/>
  <c r="D80" i="9"/>
  <c r="I30" i="9"/>
  <c r="K30" i="9"/>
  <c r="M32" i="9"/>
  <c r="I29" i="9"/>
  <c r="M29" i="9"/>
  <c r="B52" i="9"/>
  <c r="D52" i="9" s="1"/>
  <c r="O52" i="9" s="1"/>
  <c r="O32" i="9"/>
  <c r="H9" i="4"/>
  <c r="E9" i="9"/>
  <c r="B55" i="9"/>
  <c r="D55" i="9" s="1"/>
  <c r="C78" i="9" s="1"/>
  <c r="O9" i="9"/>
  <c r="K9" i="9"/>
  <c r="I9" i="9"/>
  <c r="M9" i="9"/>
  <c r="K9" i="13"/>
  <c r="I9" i="13"/>
  <c r="G9" i="13"/>
  <c r="C9" i="13"/>
  <c r="M9" i="13"/>
  <c r="M14" i="9"/>
  <c r="K14" i="9"/>
  <c r="I14" i="9"/>
  <c r="E14" i="9"/>
  <c r="O14" i="9"/>
  <c r="D83" i="9"/>
  <c r="B60" i="9"/>
  <c r="D60" i="9" s="1"/>
  <c r="E17" i="9"/>
  <c r="M17" i="9"/>
  <c r="K17" i="9"/>
  <c r="I17" i="9"/>
  <c r="E32" i="9"/>
  <c r="O12" i="9"/>
  <c r="M12" i="9"/>
  <c r="K12" i="9"/>
  <c r="I12" i="9"/>
  <c r="E12" i="9"/>
  <c r="D81" i="9"/>
  <c r="B58" i="9"/>
  <c r="D58" i="9" s="1"/>
  <c r="M11" i="13"/>
  <c r="K11" i="13"/>
  <c r="I11" i="13"/>
  <c r="G11" i="13"/>
  <c r="C11" i="13"/>
  <c r="D86" i="9"/>
  <c r="O38" i="9"/>
  <c r="D85" i="9"/>
  <c r="I6" i="21"/>
  <c r="H5" i="21"/>
  <c r="H14" i="4"/>
  <c r="H13" i="4"/>
  <c r="M35" i="9"/>
  <c r="K35" i="9"/>
  <c r="I35" i="9"/>
  <c r="E35" i="9"/>
  <c r="O35" i="9"/>
  <c r="G7" i="13"/>
  <c r="C7" i="13"/>
  <c r="M7" i="13"/>
  <c r="K7" i="13"/>
  <c r="I7" i="13"/>
  <c r="O34" i="9"/>
  <c r="M34" i="9"/>
  <c r="K34" i="9"/>
  <c r="I34" i="9"/>
  <c r="E34" i="9"/>
  <c r="S12" i="21"/>
  <c r="D77" i="9"/>
  <c r="C18" i="1"/>
  <c r="K51" i="9"/>
  <c r="M12" i="13"/>
  <c r="K12" i="13"/>
  <c r="I12" i="13"/>
  <c r="G12" i="13"/>
  <c r="C12" i="13"/>
  <c r="B40" i="9"/>
  <c r="D40" i="9" s="1"/>
  <c r="C84" i="5"/>
  <c r="G17" i="2"/>
  <c r="R8" i="21"/>
  <c r="G18" i="2"/>
  <c r="K6" i="13"/>
  <c r="I6" i="13"/>
  <c r="G6" i="13"/>
  <c r="I38" i="9"/>
  <c r="E38" i="9"/>
  <c r="M38" i="9"/>
  <c r="K38" i="9"/>
  <c r="S10" i="21"/>
  <c r="D51" i="12"/>
  <c r="O17" i="9"/>
  <c r="K18" i="9"/>
  <c r="I18" i="9"/>
  <c r="M18" i="9"/>
  <c r="E15" i="9"/>
  <c r="C51" i="5"/>
  <c r="D17" i="4" s="1"/>
  <c r="E17" i="4" s="1"/>
  <c r="C68" i="12"/>
  <c r="D68" i="12"/>
  <c r="M33" i="9"/>
  <c r="K33" i="9"/>
  <c r="I33" i="9"/>
  <c r="E33" i="9"/>
  <c r="D78" i="9"/>
  <c r="E5" i="21"/>
  <c r="H10" i="4"/>
  <c r="B41" i="9"/>
  <c r="D41" i="9" s="1"/>
  <c r="H12" i="21"/>
  <c r="K12" i="21" s="1"/>
  <c r="I16" i="9"/>
  <c r="E16" i="9"/>
  <c r="B62" i="9"/>
  <c r="D62" i="9" s="1"/>
  <c r="C85" i="9" s="1"/>
  <c r="M16" i="9"/>
  <c r="K16" i="9"/>
  <c r="E39" i="9"/>
  <c r="M39" i="9"/>
  <c r="K39" i="9"/>
  <c r="I39" i="9"/>
  <c r="K10" i="13"/>
  <c r="I10" i="13"/>
  <c r="G10" i="13"/>
  <c r="C10" i="13"/>
  <c r="M13" i="9"/>
  <c r="K13" i="9"/>
  <c r="I13" i="9"/>
  <c r="E13" i="9"/>
  <c r="B59" i="9"/>
  <c r="D59" i="9" s="1"/>
  <c r="O13" i="9"/>
  <c r="D81" i="5"/>
  <c r="L5" i="21"/>
  <c r="O5" i="21" s="1"/>
  <c r="H16" i="4"/>
  <c r="H15" i="4"/>
  <c r="P8" i="21"/>
  <c r="Q8" i="21" s="1"/>
  <c r="E31" i="9"/>
  <c r="I31" i="9"/>
  <c r="M31" i="9"/>
  <c r="K31" i="9"/>
  <c r="I8" i="9"/>
  <c r="E8" i="9"/>
  <c r="B54" i="9"/>
  <c r="D54" i="9" s="1"/>
  <c r="B77" i="9" s="1"/>
  <c r="M8" i="9"/>
  <c r="K8" i="9"/>
  <c r="K10" i="21"/>
  <c r="L12" i="21"/>
  <c r="M12" i="21" s="1"/>
  <c r="M10" i="21"/>
  <c r="M6" i="13"/>
  <c r="I8" i="13"/>
  <c r="G8" i="13"/>
  <c r="C8" i="13"/>
  <c r="K8" i="13"/>
  <c r="M36" i="9"/>
  <c r="K36" i="9"/>
  <c r="I36" i="9"/>
  <c r="E36" i="9"/>
  <c r="O33" i="9"/>
  <c r="B57" i="9"/>
  <c r="D57" i="9" s="1"/>
  <c r="M11" i="9"/>
  <c r="K11" i="9"/>
  <c r="I11" i="9"/>
  <c r="E11" i="9"/>
  <c r="B56" i="9"/>
  <c r="D56" i="9" s="1"/>
  <c r="M10" i="9"/>
  <c r="K10" i="9"/>
  <c r="I10" i="9"/>
  <c r="E10" i="9"/>
  <c r="O18" i="9"/>
  <c r="I7" i="23"/>
  <c r="D51" i="5"/>
  <c r="D18" i="4" s="1"/>
  <c r="E18" i="4" s="1"/>
  <c r="K6" i="21"/>
  <c r="D80" i="5"/>
  <c r="D85" i="5" s="1"/>
  <c r="E7" i="23"/>
  <c r="F5" i="21"/>
  <c r="H11" i="4"/>
  <c r="S9" i="21"/>
  <c r="H12" i="4"/>
  <c r="C85" i="5" l="1"/>
  <c r="E41" i="9"/>
  <c r="O12" i="21"/>
  <c r="M51" i="9"/>
  <c r="I51" i="9"/>
  <c r="B84" i="9"/>
  <c r="O51" i="9"/>
  <c r="B74" i="9"/>
  <c r="B76" i="9"/>
  <c r="O53" i="9"/>
  <c r="C76" i="9"/>
  <c r="C84" i="9"/>
  <c r="K53" i="9"/>
  <c r="M53" i="9"/>
  <c r="I61" i="9"/>
  <c r="I52" i="9"/>
  <c r="E61" i="9"/>
  <c r="L7" i="21"/>
  <c r="G8" i="23" s="1"/>
  <c r="L11" i="21"/>
  <c r="K52" i="9"/>
  <c r="O61" i="9"/>
  <c r="M52" i="9"/>
  <c r="M61" i="9"/>
  <c r="C77" i="9"/>
  <c r="N9" i="23"/>
  <c r="L9" i="23"/>
  <c r="F7" i="21"/>
  <c r="M57" i="9"/>
  <c r="K57" i="9"/>
  <c r="I57" i="9"/>
  <c r="E57" i="9"/>
  <c r="C80" i="9"/>
  <c r="O57" i="9"/>
  <c r="F11" i="21"/>
  <c r="E7" i="21"/>
  <c r="M56" i="9"/>
  <c r="K56" i="9"/>
  <c r="I56" i="9"/>
  <c r="E56" i="9"/>
  <c r="O56" i="9"/>
  <c r="C79" i="9"/>
  <c r="C7" i="21"/>
  <c r="E54" i="9"/>
  <c r="K54" i="9"/>
  <c r="I54" i="9"/>
  <c r="M54" i="9"/>
  <c r="O54" i="9"/>
  <c r="O41" i="9"/>
  <c r="M41" i="9"/>
  <c r="I41" i="9"/>
  <c r="K41" i="9"/>
  <c r="B64" i="9"/>
  <c r="D64" i="9" s="1"/>
  <c r="B83" i="9"/>
  <c r="N7" i="21"/>
  <c r="E62" i="9"/>
  <c r="M62" i="9"/>
  <c r="K62" i="9"/>
  <c r="I62" i="9"/>
  <c r="O62" i="9"/>
  <c r="N11" i="21"/>
  <c r="R18" i="4"/>
  <c r="P18" i="4"/>
  <c r="N18" i="4"/>
  <c r="R6" i="21" s="1"/>
  <c r="L18" i="4"/>
  <c r="G18" i="4"/>
  <c r="G7" i="21"/>
  <c r="M58" i="9"/>
  <c r="K58" i="9"/>
  <c r="I58" i="9"/>
  <c r="E58" i="9"/>
  <c r="O58" i="9"/>
  <c r="G11" i="21"/>
  <c r="C81" i="9"/>
  <c r="B85" i="9"/>
  <c r="S8" i="21"/>
  <c r="M40" i="9"/>
  <c r="K40" i="9"/>
  <c r="I40" i="9"/>
  <c r="E40" i="9"/>
  <c r="O40" i="9"/>
  <c r="B78" i="9"/>
  <c r="I5" i="21"/>
  <c r="D7" i="23"/>
  <c r="F7" i="23" s="1"/>
  <c r="H7" i="21"/>
  <c r="M59" i="9"/>
  <c r="K59" i="9"/>
  <c r="I59" i="9"/>
  <c r="E59" i="9"/>
  <c r="O59" i="9"/>
  <c r="C82" i="9"/>
  <c r="H11" i="21"/>
  <c r="J7" i="21"/>
  <c r="K60" i="9"/>
  <c r="I60" i="9"/>
  <c r="E60" i="9"/>
  <c r="O60" i="9"/>
  <c r="M60" i="9"/>
  <c r="C83" i="9"/>
  <c r="J11" i="21"/>
  <c r="K5" i="21"/>
  <c r="B82" i="9"/>
  <c r="G7" i="23"/>
  <c r="H7" i="23" s="1"/>
  <c r="M5" i="21"/>
  <c r="B63" i="9"/>
  <c r="D63" i="9" s="1"/>
  <c r="R17" i="4"/>
  <c r="P17" i="4"/>
  <c r="N17" i="4"/>
  <c r="P6" i="21" s="1"/>
  <c r="Q6" i="21" s="1"/>
  <c r="L17" i="4"/>
  <c r="G17" i="4"/>
  <c r="D7" i="21"/>
  <c r="M55" i="9"/>
  <c r="K55" i="9"/>
  <c r="I55" i="9"/>
  <c r="E55" i="9"/>
  <c r="O55" i="9"/>
  <c r="B79" i="9"/>
  <c r="B80" i="9"/>
  <c r="B81" i="9"/>
  <c r="O11" i="21" l="1"/>
  <c r="M7" i="21"/>
  <c r="K11" i="21"/>
  <c r="M11" i="21"/>
  <c r="I11" i="21"/>
  <c r="P5" i="21"/>
  <c r="H17" i="4"/>
  <c r="E8" i="23"/>
  <c r="H8" i="23" s="1"/>
  <c r="K7" i="21"/>
  <c r="R5" i="21"/>
  <c r="H18" i="4"/>
  <c r="J7" i="23"/>
  <c r="P7" i="21"/>
  <c r="M63" i="9"/>
  <c r="K63" i="9"/>
  <c r="I63" i="9"/>
  <c r="E63" i="9"/>
  <c r="O63" i="9"/>
  <c r="P11" i="21"/>
  <c r="Q11" i="21" s="1"/>
  <c r="B86" i="9"/>
  <c r="C86" i="9"/>
  <c r="D8" i="23"/>
  <c r="I7" i="21"/>
  <c r="S6" i="21"/>
  <c r="O7" i="21"/>
  <c r="I8" i="23"/>
  <c r="J8" i="23" s="1"/>
  <c r="R7" i="21"/>
  <c r="O64" i="9"/>
  <c r="M64" i="9"/>
  <c r="K64" i="9"/>
  <c r="I64" i="9"/>
  <c r="E64" i="9"/>
  <c r="C87" i="9"/>
  <c r="R11" i="21"/>
  <c r="B87" i="9"/>
  <c r="S11" i="21" l="1"/>
  <c r="F8" i="23"/>
  <c r="M7" i="23"/>
  <c r="S5" i="21"/>
  <c r="K8" i="23"/>
  <c r="L8" i="23" s="1"/>
  <c r="Q7" i="21"/>
  <c r="M8" i="23"/>
  <c r="S7" i="21"/>
  <c r="Q5" i="21"/>
  <c r="K7" i="23"/>
  <c r="L7" i="23" s="1"/>
  <c r="N8" i="23" l="1"/>
  <c r="N7" i="23"/>
</calcChain>
</file>

<file path=xl/sharedStrings.xml><?xml version="1.0" encoding="utf-8"?>
<sst xmlns="http://schemas.openxmlformats.org/spreadsheetml/2006/main" count="1418" uniqueCount="492">
  <si>
    <t>MATERIE PRIME IN INGRESSO</t>
  </si>
  <si>
    <t>Tabella 1.1 - Materiali da lavorare (stima)</t>
  </si>
  <si>
    <t>Tabella 1.2 - Prodotti chimici (misura)</t>
  </si>
  <si>
    <t>Anno</t>
  </si>
  <si>
    <t>Materie Prime - TOPS
[t/anno]</t>
  </si>
  <si>
    <t>Var. rispetto anno precedente 
[%]</t>
  </si>
  <si>
    <t>Materie Prime - filato
[t/anno]</t>
  </si>
  <si>
    <t>Var. rispetto anno precedente 
[%]2</t>
  </si>
  <si>
    <t>Coloranti
[t/anno]</t>
  </si>
  <si>
    <t>Prodotti Ausiliari
[t/anno]</t>
  </si>
  <si>
    <t>Chimica di base
[t/anno]</t>
  </si>
  <si>
    <t>Ausiliari + Chimica di Base [t/anno]</t>
  </si>
  <si>
    <t>Totale
[t/anno]</t>
  </si>
  <si>
    <t>PRODOTTI FINITI</t>
  </si>
  <si>
    <t>Tabella 4 - Prodotti finiti (misura)</t>
  </si>
  <si>
    <t>TOPS di lana pettinata trattata [t/anno]</t>
  </si>
  <si>
    <t>Filato tinto
[t/anno]</t>
  </si>
  <si>
    <t>TOPS + Filato
[t/anno]</t>
  </si>
  <si>
    <t>Var. rispetto anno precedente 
[%]3</t>
  </si>
  <si>
    <t>Roccatura
[t/anno]</t>
  </si>
  <si>
    <t>Var. rispetto anno precedente 
[%]4</t>
  </si>
  <si>
    <t>Produzione mensile - Tintoria</t>
  </si>
  <si>
    <t>Produzione mensile - Roccatura</t>
  </si>
  <si>
    <t>Mesi</t>
  </si>
  <si>
    <t>UdM</t>
  </si>
  <si>
    <t>2023</t>
  </si>
  <si>
    <t>2024</t>
  </si>
  <si>
    <t>2025</t>
  </si>
  <si>
    <t>Gennaio</t>
  </si>
  <si>
    <t>kg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</si>
  <si>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</si>
  <si>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</si>
  <si>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</si>
  <si>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</si>
  <si>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</si>
  <si>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</si>
  <si>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</si>
  <si>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</si>
  <si>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</si>
  <si>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</si>
  <si>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</si>
  <si>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</si>
  <si>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Produzione mensile - Trattamento Irrestringibile</t>
  </si>
  <si>
    <t>Produzione mensile - Confezione</t>
  </si>
  <si>
    <t>Produzione mensile - Totale</t>
  </si>
  <si>
    <t>CONSUMO RISORSE IDRICHE</t>
  </si>
  <si>
    <t>Tabella 6.1 - Attingimento totale</t>
  </si>
  <si>
    <t>Tabella 6.2 - Ripartizione per reparto - acqua uso industriale (stima)</t>
  </si>
  <si>
    <t>Pozzo 2
[m3]2</t>
  </si>
  <si>
    <t>Pozzo 3
[m3]3</t>
  </si>
  <si>
    <t>Totale Pozzi 
[m3]</t>
  </si>
  <si>
    <t>Tratt. Irr.
%</t>
  </si>
  <si>
    <t>Tintoria
%</t>
  </si>
  <si>
    <t>Roccatura
%</t>
  </si>
  <si>
    <t>Altro
%</t>
  </si>
  <si>
    <t>RISORSE IDRICHE</t>
  </si>
  <si>
    <t>Pozzo 1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</si>
  <si>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</si>
  <si>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</si>
  <si>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</si>
  <si>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</si>
  <si>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</si>
  <si>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</si>
  <si>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</si>
  <si>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</si>
  <si>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</si>
  <si>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</si>
  <si>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</si>
  <si>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</si>
  <si>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</si>
  <si>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t>Pozzo 2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</si>
  <si>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</si>
  <si>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</si>
  <si>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</si>
  <si>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</si>
  <si>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</si>
  <si>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</si>
  <si>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</si>
  <si>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</si>
  <si>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</si>
  <si>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</si>
  <si>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</si>
  <si>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</si>
  <si>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</si>
  <si>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t>Pozzo 3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</si>
  <si>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</si>
  <si>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</si>
  <si>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</si>
  <si>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</si>
  <si>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</si>
  <si>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</si>
  <si>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</si>
  <si>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</si>
  <si>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</si>
  <si>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</si>
  <si>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</si>
  <si>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</si>
  <si>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</si>
  <si>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t>Acquedotto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</si>
  <si>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</si>
  <si>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</si>
  <si>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</si>
  <si>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</si>
  <si>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</si>
  <si>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</si>
  <si>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</si>
  <si>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</si>
  <si>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</si>
  <si>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</si>
  <si>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</si>
  <si>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</si>
  <si>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</si>
  <si>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t>Totale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</si>
  <si>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</si>
  <si>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</si>
  <si>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</si>
  <si>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</si>
  <si>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</si>
  <si>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</si>
  <si>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</si>
  <si>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</si>
  <si>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</si>
  <si>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</si>
  <si>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</si>
  <si>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</si>
  <si>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</si>
  <si>
    <t>Letture Mensili</t>
  </si>
  <si>
    <t>Consumi mensili e cumulativi nel corso dell'anno</t>
  </si>
  <si>
    <t>Data</t>
  </si>
  <si>
    <t>Unità di Misura</t>
  </si>
  <si>
    <t>Pozzo n°1</t>
  </si>
  <si>
    <t>Pozzo n°2</t>
  </si>
  <si>
    <t>Pozzo n°3</t>
  </si>
  <si>
    <t>Mese/Anno</t>
  </si>
  <si>
    <t>[m3]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</si>
  <si>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</si>
  <si>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</si>
  <si>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</si>
  <si>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</si>
  <si>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</si>
  <si>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</si>
  <si>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</si>
  <si>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</si>
  <si>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</si>
  <si>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</si>
  <si>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</si>
  <si>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</si>
  <si>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RISORSE ENERGETICHE</t>
  </si>
  <si>
    <t>Tabella 7a.1 - Energia elettrica - consumo totale</t>
  </si>
  <si>
    <t xml:space="preserve">Tabella 7a.2 - Energia elettrica - Ripartizione per reparto </t>
  </si>
  <si>
    <t>Consumo energia elettrica di rete
[MWh]</t>
  </si>
  <si>
    <t>Totale
[MWh]</t>
  </si>
  <si>
    <t>Tratt. Irr.
[MWh]</t>
  </si>
  <si>
    <t>Tintoria
[MWh]</t>
  </si>
  <si>
    <t>Roccatura
[MWh]</t>
  </si>
  <si>
    <t>Altro
[MWh]</t>
  </si>
  <si>
    <t>Tabella 7b.1 - Energia termica - consumo totale</t>
  </si>
  <si>
    <t xml:space="preserve">Tabella 7b.2 - Energia termica - Ripartizione per reparto </t>
  </si>
  <si>
    <t>Energia termica prodotta per autoconsumo
[MWh]</t>
  </si>
  <si>
    <t>Colonna vuota</t>
  </si>
  <si>
    <t>Tabella 7c.1 - Energia - consumo totale</t>
  </si>
  <si>
    <t xml:space="preserve">Tabella 7c.2 - Energia - Ripartizione per reparto </t>
  </si>
  <si>
    <t>Energia totale
[MWh]</t>
  </si>
  <si>
    <t xml:space="preserve">Tabella 7d - Rapporti </t>
  </si>
  <si>
    <t>Energia Elettrica/ Energia Totale</t>
  </si>
  <si>
    <t>Energia da Fotovoltaico/ Energia Totale</t>
  </si>
  <si>
    <t>Energia da Fotovoltaico/ Energia Elettrica Totale</t>
  </si>
  <si>
    <t>CONSUMO ENERGIA ELETTRICA DI RETE</t>
  </si>
  <si>
    <t>kWh</t>
  </si>
  <si>
    <t>GJ</t>
  </si>
  <si>
    <t>OLIO COMBUSTIBILE</t>
  </si>
  <si>
    <t>PCI [GJ/ton]</t>
  </si>
  <si>
    <t>[kg]</t>
  </si>
  <si>
    <t>[GJ]</t>
  </si>
  <si>
    <t>2011 kg</t>
  </si>
  <si>
    <t>2011 GJ</t>
  </si>
  <si>
    <t>2012 kg</t>
  </si>
  <si>
    <t>2012 GJ</t>
  </si>
  <si>
    <t>2013 kg</t>
  </si>
  <si>
    <t>2013 GJ</t>
  </si>
  <si>
    <t>2014 kg</t>
  </si>
  <si>
    <t>2014 GJ</t>
  </si>
  <si>
    <t>2015 kg</t>
  </si>
  <si>
    <t>2015 GJ</t>
  </si>
  <si>
    <t>2016 kg</t>
  </si>
  <si>
    <t>2016 GJ</t>
  </si>
  <si>
    <t>2017 kg</t>
  </si>
  <si>
    <t>2017 GJ</t>
  </si>
  <si>
    <t>2018 kg</t>
  </si>
  <si>
    <t>2018 GJ</t>
  </si>
  <si>
    <t>MWh</t>
  </si>
  <si>
    <t>METANO</t>
  </si>
  <si>
    <t>[Stdm3]</t>
  </si>
  <si>
    <t>2017 m3</t>
  </si>
  <si>
    <t>2018 m3</t>
  </si>
  <si>
    <t>2019 m3</t>
  </si>
  <si>
    <t>2019 GJ</t>
  </si>
  <si>
    <t>2020 m3</t>
  </si>
  <si>
    <t>2020 GJ</t>
  </si>
  <si>
    <t>2021 m3</t>
  </si>
  <si>
    <t>2021 GJ</t>
  </si>
  <si>
    <t>2022 m3</t>
  </si>
  <si>
    <t>2022 GJ</t>
  </si>
  <si>
    <t>2023 m3</t>
  </si>
  <si>
    <t>2023 GJ</t>
  </si>
  <si>
    <t>2024 m3</t>
  </si>
  <si>
    <t>2024 GJ</t>
  </si>
  <si>
    <t>Energia elettrica di rete</t>
  </si>
  <si>
    <t>Energia elettrica da fotovoltaico</t>
  </si>
  <si>
    <t>Energia termica</t>
  </si>
  <si>
    <t>COMBUSTIBILI</t>
  </si>
  <si>
    <t>Tabella 8.1 - Metano - consumo totale</t>
  </si>
  <si>
    <t xml:space="preserve">Tabella 8.2 - Metano - Ripartizione per reparto </t>
  </si>
  <si>
    <r>
      <rPr>
        <sz val="11"/>
        <color theme="1"/>
        <rFont val="Calibri"/>
        <family val="2"/>
      </rPr>
      <t>Totale
[Stdm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]</t>
    </r>
  </si>
  <si>
    <r>
      <rPr>
        <sz val="11"/>
        <color theme="1"/>
        <rFont val="Calibri"/>
        <family val="2"/>
      </rPr>
      <t>Tratt. Irr.
[Stdm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]</t>
    </r>
  </si>
  <si>
    <r>
      <rPr>
        <sz val="11"/>
        <color theme="1"/>
        <rFont val="Calibri"/>
        <family val="2"/>
      </rPr>
      <t>Tintoria
[Stdm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]</t>
    </r>
  </si>
  <si>
    <r>
      <rPr>
        <sz val="11"/>
        <color theme="1"/>
        <rFont val="Calibri"/>
        <family val="2"/>
      </rPr>
      <t>Roccatura
[Stdm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]</t>
    </r>
  </si>
  <si>
    <r>
      <rPr>
        <sz val="11"/>
        <color theme="1"/>
        <rFont val="Calibri"/>
        <family val="2"/>
      </rPr>
      <t>Altro
[Stdm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]</t>
    </r>
  </si>
  <si>
    <t>EMISSIONI IN ATMOSFERA</t>
  </si>
  <si>
    <t>Tabella 9.1 - Produzione di vapore</t>
  </si>
  <si>
    <t>Tabella 9.2 - Trattamento Irrestringibile</t>
  </si>
  <si>
    <t>Punto di Emissione</t>
  </si>
  <si>
    <t>NOx</t>
  </si>
  <si>
    <t>CO</t>
  </si>
  <si>
    <t>Laboratorio</t>
  </si>
  <si>
    <t>Rapporto di Prova</t>
  </si>
  <si>
    <t>HCl</t>
  </si>
  <si>
    <t>Portata</t>
  </si>
  <si>
    <t>T.O.C.</t>
  </si>
  <si>
    <t>Portata2</t>
  </si>
  <si>
    <r>
      <rPr>
        <b/>
        <sz val="11"/>
        <color theme="1"/>
        <rFont val="Calibri"/>
        <family val="2"/>
      </rPr>
      <t>150 [mg/Nm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>]</t>
    </r>
  </si>
  <si>
    <r>
      <rPr>
        <b/>
        <sz val="11"/>
        <color theme="1"/>
        <rFont val="Calibri"/>
        <family val="2"/>
      </rPr>
      <t>100 [mg/Nm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>]</t>
    </r>
  </si>
  <si>
    <r>
      <rPr>
        <b/>
        <sz val="11"/>
        <color theme="1"/>
        <rFont val="Calibri"/>
        <family val="2"/>
      </rPr>
      <t>5 [mg/Nm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>]</t>
    </r>
  </si>
  <si>
    <t>0,03 [kg/h]</t>
  </si>
  <si>
    <r>
      <rPr>
        <b/>
        <sz val="11"/>
        <color theme="1"/>
        <rFont val="Calibri"/>
        <family val="2"/>
      </rPr>
      <t>20 [mg/Nm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>]</t>
    </r>
  </si>
  <si>
    <t>0,12 [kg/h]</t>
  </si>
  <si>
    <t>14a</t>
  </si>
  <si>
    <t>parametri e limiti diversi (v. RdP)</t>
  </si>
  <si>
    <t>CRAB</t>
  </si>
  <si>
    <t>140517-001</t>
  </si>
  <si>
    <t>17a</t>
  </si>
  <si>
    <t>&lt;0,9</t>
  </si>
  <si>
    <t>&lt;0,004</t>
  </si>
  <si>
    <t>151090-001</t>
  </si>
  <si>
    <t>14b</t>
  </si>
  <si>
    <t>140517-002</t>
  </si>
  <si>
    <t>17b</t>
  </si>
  <si>
    <t>14c</t>
  </si>
  <si>
    <t>140517-003</t>
  </si>
  <si>
    <t>180605-001</t>
  </si>
  <si>
    <t>180077-001</t>
  </si>
  <si>
    <t>0.1320</t>
  </si>
  <si>
    <t>180605-002</t>
  </si>
  <si>
    <t>180547-001</t>
  </si>
  <si>
    <t>0.0070</t>
  </si>
  <si>
    <t>190308-001</t>
  </si>
  <si>
    <t>180077-002</t>
  </si>
  <si>
    <t>0.0037</t>
  </si>
  <si>
    <t>190308-002</t>
  </si>
  <si>
    <t>200112-001</t>
  </si>
  <si>
    <t>0.0144</t>
  </si>
  <si>
    <t>220275-001</t>
  </si>
  <si>
    <t>200112-002</t>
  </si>
  <si>
    <t>220275-002</t>
  </si>
  <si>
    <t>200112-003</t>
  </si>
  <si>
    <t>230160-001</t>
  </si>
  <si>
    <t>&lt;1</t>
  </si>
  <si>
    <t>230160-002</t>
  </si>
  <si>
    <t>230160-003</t>
  </si>
  <si>
    <t>240725-001</t>
  </si>
  <si>
    <t>240725-002</t>
  </si>
  <si>
    <t>240725-003</t>
  </si>
  <si>
    <t>INQUINANTI MONITORATI ALL'USCITA DEL DEPURATORE</t>
  </si>
  <si>
    <t>Tabella 13a - Parametri Autorizzati</t>
  </si>
  <si>
    <t>Tabella 13b - Parametri BAT-AEL</t>
  </si>
  <si>
    <t>DATA</t>
  </si>
  <si>
    <t>LABORATORIO</t>
  </si>
  <si>
    <t>RAPPORTO DI PROVA</t>
  </si>
  <si>
    <t>PUNTO DI PRELIEVO</t>
  </si>
  <si>
    <t>pH</t>
  </si>
  <si>
    <t>Colore</t>
  </si>
  <si>
    <t>Solidi sospesi totali
mg/l</t>
  </si>
  <si>
    <t>COD 
mg/l</t>
  </si>
  <si>
    <t>BOD5
mg/l</t>
  </si>
  <si>
    <t>Azoto totale
mg/l</t>
  </si>
  <si>
    <t>Azoto ammoniacale
mg/l</t>
  </si>
  <si>
    <t>Azoto nitroso
mg/l</t>
  </si>
  <si>
    <t>Azoto nitrico
mg/l</t>
  </si>
  <si>
    <t>Azoto organico
mg/l</t>
  </si>
  <si>
    <t>Cloruri
mg/l</t>
  </si>
  <si>
    <t>Solfati
mg/l</t>
  </si>
  <si>
    <t>Tensioattivi totali
mg/l</t>
  </si>
  <si>
    <t>Tensioattivi anionici
mg/l</t>
  </si>
  <si>
    <t>Tensioattivi non ionici
mg/l</t>
  </si>
  <si>
    <t>Tensioattivi cationici
mg/l</t>
  </si>
  <si>
    <t>Cromo VI
mg/l</t>
  </si>
  <si>
    <t>Al
mg/l</t>
  </si>
  <si>
    <t>Cd
mg/l</t>
  </si>
  <si>
    <t>Cr
mg/l</t>
  </si>
  <si>
    <t>Fe
mg/l</t>
  </si>
  <si>
    <t>Fosforo totale
mg/l</t>
  </si>
  <si>
    <t>Mn
mg/l</t>
  </si>
  <si>
    <t>Ni
mg/l2</t>
  </si>
  <si>
    <t>Pb
mg/l</t>
  </si>
  <si>
    <t>Cu
mg/l</t>
  </si>
  <si>
    <t>Zn
mg/l</t>
  </si>
  <si>
    <t>ANNOTAZIONI</t>
  </si>
  <si>
    <t>TOC
mg/l</t>
  </si>
  <si>
    <t>Sb
mg/l</t>
  </si>
  <si>
    <t>AOX
mg/l</t>
  </si>
  <si>
    <t>HOI
mg/l</t>
  </si>
  <si>
    <t>Altri Tensioattivi (Tensioattivi totali)
mg/l</t>
  </si>
  <si>
    <t>Solfuri
mg/l</t>
  </si>
  <si>
    <t>Tossicità
%</t>
  </si>
  <si>
    <t>LIMITI</t>
  </si>
  <si>
    <t>5,5-9,5</t>
  </si>
  <si>
    <t>-</t>
  </si>
  <si>
    <t>COMIE x CORDAR</t>
  </si>
  <si>
    <t>19LA06570</t>
  </si>
  <si>
    <t>Uscita depuratore</t>
  </si>
  <si>
    <t>BQT</t>
  </si>
  <si>
    <t>19LA13838</t>
  </si>
  <si>
    <t>19LA21570</t>
  </si>
  <si>
    <t>19LA31490</t>
  </si>
  <si>
    <t>COMIE</t>
  </si>
  <si>
    <t>24LA70120-01</t>
  </si>
  <si>
    <t>&lt;0,1</t>
  </si>
  <si>
    <t>&lt;0,05</t>
  </si>
  <si>
    <t>P. 1:40</t>
  </si>
  <si>
    <t>&lt;0,5</t>
  </si>
  <si>
    <t>24h</t>
  </si>
  <si>
    <t>20LA08740</t>
  </si>
  <si>
    <t>24LA74922-01</t>
  </si>
  <si>
    <t>N.P. 1:40</t>
  </si>
  <si>
    <t>trimestrale</t>
  </si>
  <si>
    <t>20LA22304</t>
  </si>
  <si>
    <t>24LA77682</t>
  </si>
  <si>
    <t>N.P. 1:20</t>
  </si>
  <si>
    <t>20LA33652</t>
  </si>
  <si>
    <t>20LA34030</t>
  </si>
  <si>
    <t>20LA34301</t>
  </si>
  <si>
    <t>3 analisi svolte in 4 giorni</t>
  </si>
  <si>
    <t>Chelab x CORDAR</t>
  </si>
  <si>
    <t>6 mesi dall'ultima analisi</t>
  </si>
  <si>
    <t>RP-ENV-23/000012135</t>
  </si>
  <si>
    <t>RP-ENV-23/000044214</t>
  </si>
  <si>
    <t>230377-001</t>
  </si>
  <si>
    <t>rientro parametri fuori limite</t>
  </si>
  <si>
    <t>230484-001</t>
  </si>
  <si>
    <t>RP-ENV-23/000061594</t>
  </si>
  <si>
    <t>RP-ENV-23/000102450</t>
  </si>
  <si>
    <t>230998-001</t>
  </si>
  <si>
    <t>RP-ENV-24/000010803</t>
  </si>
  <si>
    <t>RP-ENV-24/000046391</t>
  </si>
  <si>
    <t>&lt;0,0071</t>
  </si>
  <si>
    <t>&lt;0,086</t>
  </si>
  <si>
    <t>&lt;0,73</t>
  </si>
  <si>
    <t>&lt;0,000075</t>
  </si>
  <si>
    <t>RP-ENV-24/000071739</t>
  </si>
  <si>
    <t>&lt;0,37</t>
  </si>
  <si>
    <t>RP-ENV-24/000107530</t>
  </si>
  <si>
    <t>RIFIUTI IN USCITA</t>
  </si>
  <si>
    <t>Tabella 15 - Rifiuti in uscita</t>
  </si>
  <si>
    <t>Denominazione</t>
  </si>
  <si>
    <t>EER</t>
  </si>
  <si>
    <t>Smaltimento (D) / Recupero (R)</t>
  </si>
  <si>
    <t>P / NP</t>
  </si>
  <si>
    <t>Quantità prodotta
[kg]
2017</t>
  </si>
  <si>
    <t>Quantità prodotta
[kg]
2018</t>
  </si>
  <si>
    <t>Quantità prodotta
[kg]
2019</t>
  </si>
  <si>
    <t>Quantità prodotta
[kg]
2020</t>
  </si>
  <si>
    <t>Quantità prodotta
[kg]
2021</t>
  </si>
  <si>
    <t>Quantità prodotta
[kg]
2022</t>
  </si>
  <si>
    <t>Quantità prodotta
[kg]
2023</t>
  </si>
  <si>
    <t>Quantità prodotta
[kg]
2024</t>
  </si>
  <si>
    <t>Pitture e vernici di scarto, contenenti solventi organici o altre sostanze pericolose</t>
  </si>
  <si>
    <t>D15</t>
  </si>
  <si>
    <t>P</t>
  </si>
  <si>
    <t>Toner per stampa esauriti, diversi da quelli di cui alla voce 08 03 17</t>
  </si>
  <si>
    <t>080318</t>
  </si>
  <si>
    <t>R13</t>
  </si>
  <si>
    <t>NP</t>
  </si>
  <si>
    <t>Fanghi prodotti dal trattamento in loco degli effluenti diversi da quelli di cui alla voce 040219</t>
  </si>
  <si>
    <t>040220</t>
  </si>
  <si>
    <t>D</t>
  </si>
  <si>
    <t>Scarti di olio minerale per motori, ingranaggi e lubrificazione, non clorurati</t>
  </si>
  <si>
    <t>Imballaggi di carta e cartone</t>
  </si>
  <si>
    <t>Imballaggi di plastica</t>
  </si>
  <si>
    <t>Imballaggi in materiali misti</t>
  </si>
  <si>
    <t>150106</t>
  </si>
  <si>
    <t>Imballaggi contenenti residui di sostanza pericolose o contaminati da tali sostanze</t>
  </si>
  <si>
    <t>Veicoli inutilizzabili</t>
  </si>
  <si>
    <t>R</t>
  </si>
  <si>
    <t>Apparecchiature fuori uso, contenenti componenti pericolose diversi da quelli di cui alle voci da 160209 a 160212</t>
  </si>
  <si>
    <t>Apparecchiature fuori uso, diverse da quelle di cui alle voci de 160209 a 160213</t>
  </si>
  <si>
    <t>Rifiuti organici, contenenti sostanze pericolose</t>
  </si>
  <si>
    <t>Vetro</t>
  </si>
  <si>
    <t>170202</t>
  </si>
  <si>
    <t>Ferro e acciaio</t>
  </si>
  <si>
    <t>Cavi</t>
  </si>
  <si>
    <t>Altri materiali isolanti contenenti o costituiti da sostanze pericolose</t>
  </si>
  <si>
    <t>Tubi fluorescenti ed altri rifiuti contenenti mercurio</t>
  </si>
  <si>
    <t>Rifiuti biodegradabili</t>
  </si>
  <si>
    <t>Fanghi delle fosse settiche</t>
  </si>
  <si>
    <t>D8, D9</t>
  </si>
  <si>
    <t>D %</t>
  </si>
  <si>
    <t>R %</t>
  </si>
  <si>
    <t>NP %</t>
  </si>
  <si>
    <t>P %</t>
  </si>
  <si>
    <t>Totale complessivo</t>
  </si>
  <si>
    <t>150101</t>
  </si>
  <si>
    <t>150102</t>
  </si>
  <si>
    <t>160214</t>
  </si>
  <si>
    <t>170405</t>
  </si>
  <si>
    <t>200201</t>
  </si>
  <si>
    <t>200304</t>
  </si>
  <si>
    <t>170411</t>
  </si>
  <si>
    <t>INDICATORI PERFORMANCE</t>
  </si>
  <si>
    <t>Tab. 21 - Indicatori di performance</t>
  </si>
  <si>
    <t>Indicatore</t>
  </si>
  <si>
    <t>diff. 19-18</t>
  </si>
  <si>
    <t>diff. 20-19</t>
  </si>
  <si>
    <t>diff. 21-20</t>
  </si>
  <si>
    <t>diff. 22-21</t>
  </si>
  <si>
    <t>diff. 23-22</t>
  </si>
  <si>
    <t>diff. 24-23</t>
  </si>
  <si>
    <t>Consumo di acqua per unità di prodotto 
(produzione totale)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</si>
  <si>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/t</t>
    </r>
  </si>
  <si>
    <t>Consumo di acqua per unità di prodotto 
(tintoria)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</si>
  <si>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/t</t>
    </r>
  </si>
  <si>
    <t>Consumo di energia per unità di prodotto
(produzione totale)</t>
  </si>
  <si>
    <t>MWh/t</t>
  </si>
  <si>
    <t>Consumo di prodotti chimici per unità di prodotto (produzione totale)</t>
  </si>
  <si>
    <t>kg/t</t>
  </si>
  <si>
    <t>Consumo di coloranti per unità di prodotto
(filato tinto)</t>
  </si>
  <si>
    <t>Produzione di rifiuti per unità di prodotto 
(produzione totale)</t>
  </si>
  <si>
    <t>Produzione specifica (energia) di rifiuti</t>
  </si>
  <si>
    <t>kg (rifiuti prodotti)/ MWh (energia utilizzata)</t>
  </si>
  <si>
    <t>Produzione specifica (combustibile) di rifiuti</t>
  </si>
  <si>
    <r>
      <rPr>
        <sz val="11"/>
        <color theme="1"/>
        <rFont val="Calibri"/>
        <family val="2"/>
      </rPr>
      <t>kg (rifiuti prodotti)/1.000 Stdm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(combustibile utilizzato)</t>
    </r>
  </si>
  <si>
    <t>INDICATORI CIRCOLARITA</t>
  </si>
  <si>
    <t>Tab. 22 - Indicatori di circolarità</t>
  </si>
  <si>
    <t>Unità di Misura2</t>
  </si>
  <si>
    <t>diff 20-19</t>
  </si>
  <si>
    <t>diff 21-20</t>
  </si>
  <si>
    <t>diff 22-21</t>
  </si>
  <si>
    <t>diff 23-22</t>
  </si>
  <si>
    <t>diff 24-23</t>
  </si>
  <si>
    <t>Utilizzo di acqua recuperata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</si>
  <si>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/anno</t>
    </r>
  </si>
  <si>
    <t>Indice di recupero rifiuti annuo</t>
  </si>
  <si>
    <t>% kg annui rifiuti inviati a recupero/kg annui rifiuti prodotti</t>
  </si>
  <si>
    <t>Variazione del consumo idrico per unità di prodotto</t>
  </si>
  <si>
    <r>
      <rPr>
        <sz val="11"/>
        <color theme="1"/>
        <rFont val="Calibri"/>
        <family val="2"/>
      </rPr>
      <t>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/t</t>
    </r>
  </si>
  <si>
    <t>% su anno precedente</t>
  </si>
  <si>
    <t>Variazione del consumo energetico per unità di prodotto</t>
  </si>
  <si>
    <t>Variazione dei rifiuti da imballaggi per unità di prodotto
(somma 150101 / 150102 / 150106)</t>
  </si>
  <si>
    <r>
      <t>Pozzo 1
[m</t>
    </r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>]</t>
    </r>
  </si>
  <si>
    <r>
      <t>Acquedotto
[m</t>
    </r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>]</t>
    </r>
  </si>
  <si>
    <r>
      <t>Tratt. Irr.
[m</t>
    </r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>]</t>
    </r>
  </si>
  <si>
    <r>
      <t>Tintoria
[m</t>
    </r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>]</t>
    </r>
  </si>
  <si>
    <r>
      <t>Roccatura
[m</t>
    </r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>]</t>
    </r>
  </si>
  <si>
    <r>
      <t>Altro
[m</t>
    </r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>]</t>
    </r>
  </si>
  <si>
    <r>
      <t>Totale
[m</t>
    </r>
    <r>
      <rPr>
        <vertAlign val="superscript"/>
        <sz val="11"/>
        <color theme="0"/>
        <rFont val="Calibri"/>
        <family val="2"/>
      </rPr>
      <t>3</t>
    </r>
    <r>
      <rPr>
        <sz val="11"/>
        <color theme="0"/>
        <rFont val="Calibri"/>
        <family val="2"/>
      </rPr>
      <t>]</t>
    </r>
  </si>
  <si>
    <t>2025 m3</t>
  </si>
  <si>
    <t>2025 GJ</t>
  </si>
  <si>
    <t>24LA81903</t>
  </si>
  <si>
    <t>Quantità prodotta
[kg]
2025</t>
  </si>
  <si>
    <t>R4</t>
  </si>
  <si>
    <t>D8, D9, D15</t>
  </si>
  <si>
    <t>diff. 24-25</t>
  </si>
  <si>
    <t>diff 25-24</t>
  </si>
  <si>
    <t>CONSUMO DI ENERGIA ELETTRICA DA FOTOVOLTAICO</t>
  </si>
  <si>
    <t>Imballaggi in metallo</t>
  </si>
  <si>
    <t>150104</t>
  </si>
  <si>
    <t>Gas in contenitori a pressione</t>
  </si>
  <si>
    <t>160505</t>
  </si>
  <si>
    <t>Altre batterie e accumulatori</t>
  </si>
  <si>
    <t>160605</t>
  </si>
  <si>
    <t>Consumo  energia elettrica da fotovoltaico
[MWh]</t>
  </si>
  <si>
    <t>080111*</t>
  </si>
  <si>
    <t>130205*</t>
  </si>
  <si>
    <t>150110*</t>
  </si>
  <si>
    <t>150111*</t>
  </si>
  <si>
    <t>160104*</t>
  </si>
  <si>
    <t>160213*</t>
  </si>
  <si>
    <t>160305*</t>
  </si>
  <si>
    <t>170603*</t>
  </si>
  <si>
    <t>200121*</t>
  </si>
  <si>
    <t>imballaggi metallici contenenti matrici solide porose pericolose (ad esempio amianto),
compresi i contenitori a pressione vuoti</t>
  </si>
  <si>
    <t>240725-004</t>
  </si>
  <si>
    <t>240725-005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</si>
</sst>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164" formatCode="0.0%"/>
    <numFmt numFmtId="165" formatCode="#,##0.0"/>
    <numFmt numFmtId="166" formatCode="dd/mm/yy"/>
    <numFmt numFmtId="167" formatCode="0.000"/>
    <numFmt numFmtId="168" formatCode="#,##0.000"/>
    <numFmt numFmtId="169" formatCode="0.0"/>
    <numFmt numFmtId="170" formatCode="d/m/yyyy"/>
    <numFmt numFmtId="171" formatCode="0.0000"/>
    <numFmt numFmtId="172" formatCode="0.0E+00"/>
    <numFmt numFmtId="173" formatCode="dd/mm/yy;@"/>
    <numFmt numFmtId="174" formatCode="0.0000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rgb="FF0070C0"/>
      <name val="Calibri"/>
      <family val="2"/>
    </font>
    <font>
      <sz val="11"/>
      <color rgb="FF0070C0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FF0000"/>
      <name val="Calibri"/>
      <family val="2"/>
    </font>
    <font>
      <b/>
      <sz val="11"/>
      <color theme="0"/>
      <name val="Calibri"/>
      <family val="2"/>
    </font>
    <font>
      <sz val="9"/>
      <color rgb="FF000000"/>
      <name val="Arial"/>
      <family val="2"/>
    </font>
    <font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</font>
    <font>
      <vertAlign val="superscript"/>
      <sz val="11"/>
      <name val="Calibri"/>
      <family val="2"/>
    </font>
    <font>
      <vertAlign val="superscript"/>
      <sz val="11"/>
      <color theme="0"/>
      <name val="Calibri"/>
      <family val="2"/>
    </font>
    <font>
      <sz val="8"/>
      <name val="Calibri"/>
      <family val="2"/>
      <scheme val="minor"/>
    </font>
    <font>
      <b/>
      <sz val="11"/>
      <color rgb="FF0070C0"/>
      <name val="Calibri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DEEAF6"/>
        <bgColor rgb="FFDEEAF6"/>
      </patternFill>
    </fill>
    <fill>
      <patternFill patternType="solid">
        <fgColor rgb="FF385623"/>
        <bgColor rgb="FF385623"/>
      </patternFill>
    </fill>
    <fill>
      <patternFill patternType="solid">
        <fgColor rgb="FF002060"/>
        <bgColor rgb="FF002060"/>
      </patternFill>
    </fill>
    <fill>
      <patternFill patternType="solid">
        <fgColor theme="5"/>
        <bgColor theme="5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FF0000"/>
        <bgColor rgb="FFFF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rgb="FFFFFF0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2E5"/>
      </top>
      <bottom/>
      <diagonal/>
    </border>
    <border>
      <left style="thin">
        <color rgb="FFF4B083"/>
      </left>
      <right/>
      <top style="thin">
        <color rgb="FFF4B083"/>
      </top>
      <bottom/>
      <diagonal/>
    </border>
    <border>
      <left/>
      <right/>
      <top style="thin">
        <color rgb="FFF4B083"/>
      </top>
      <bottom/>
      <diagonal/>
    </border>
    <border>
      <left/>
      <right/>
      <top style="thin">
        <color rgb="FFF4B083"/>
      </top>
      <bottom style="thin">
        <color rgb="FFF4B083"/>
      </bottom>
      <diagonal/>
    </border>
    <border>
      <left/>
      <right/>
      <top style="thin">
        <color rgb="FFF4B083"/>
      </top>
      <bottom style="thin">
        <color rgb="FFF4B083"/>
      </bottom>
      <diagonal/>
    </border>
    <border>
      <left/>
      <right style="thin">
        <color rgb="FFF4B083"/>
      </right>
      <top style="thin">
        <color rgb="FFF4B083"/>
      </top>
      <bottom style="thin">
        <color rgb="FFF4B083"/>
      </bottom>
      <diagonal/>
    </border>
    <border>
      <left style="thin">
        <color rgb="FFF4B083"/>
      </left>
      <right/>
      <top style="thin">
        <color rgb="FFF4B083"/>
      </top>
      <bottom/>
      <diagonal/>
    </border>
    <border>
      <left/>
      <right/>
      <top style="thin">
        <color rgb="FFF4B083"/>
      </top>
      <bottom/>
      <diagonal/>
    </border>
    <border>
      <left/>
      <right style="thin">
        <color rgb="FFF4B083"/>
      </right>
      <top style="thin">
        <color rgb="FFF4B083"/>
      </top>
      <bottom/>
      <diagonal/>
    </border>
    <border>
      <left style="thin">
        <color rgb="FFF4B083"/>
      </left>
      <right/>
      <top style="thin">
        <color rgb="FFF4B083"/>
      </top>
      <bottom style="thin">
        <color rgb="FFF4B083"/>
      </bottom>
      <diagonal/>
    </border>
    <border>
      <left/>
      <right/>
      <top style="thin">
        <color rgb="FFF4B083"/>
      </top>
      <bottom style="thin">
        <color rgb="FFF4B083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CC2E5"/>
      </left>
      <right/>
      <top style="thin">
        <color rgb="FF9CC2E5"/>
      </top>
      <bottom style="thin">
        <color rgb="FF9CC2E5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9CC2E5"/>
      </top>
      <bottom/>
      <diagonal/>
    </border>
    <border>
      <left/>
      <right/>
      <top/>
      <bottom style="thin">
        <color rgb="FFA8D08D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/>
      <top style="thin">
        <color indexed="65"/>
      </top>
      <bottom/>
      <diagonal/>
    </border>
    <border>
      <left/>
      <right style="thin">
        <color rgb="FFABABAB"/>
      </right>
      <top style="thin">
        <color indexed="65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9" fontId="3" fillId="0" borderId="0" xfId="0" applyNumberFormat="1" applyFont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3" fontId="2" fillId="9" borderId="3" xfId="0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7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17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0" fontId="2" fillId="12" borderId="1" xfId="0" applyFont="1" applyFill="1" applyBorder="1" applyAlignment="1">
      <alignment horizontal="left" vertical="center"/>
    </xf>
    <xf numFmtId="2" fontId="3" fillId="0" borderId="0" xfId="0" applyNumberFormat="1" applyFont="1"/>
    <xf numFmtId="0" fontId="3" fillId="0" borderId="0" xfId="0" applyFont="1" applyAlignment="1">
      <alignment horizontal="left" vertical="center"/>
    </xf>
    <xf numFmtId="169" fontId="3" fillId="0" borderId="0" xfId="0" applyNumberFormat="1" applyFont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13" borderId="1" xfId="0" applyFont="1" applyFill="1" applyBorder="1" applyAlignment="1">
      <alignment horizontal="center" vertical="center"/>
    </xf>
    <xf numFmtId="3" fontId="2" fillId="13" borderId="20" xfId="0" applyNumberFormat="1" applyFont="1" applyFill="1" applyBorder="1" applyAlignment="1">
      <alignment horizontal="right" vertical="center"/>
    </xf>
    <xf numFmtId="0" fontId="3" fillId="13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3" fontId="2" fillId="12" borderId="20" xfId="0" applyNumberFormat="1" applyFont="1" applyFill="1" applyBorder="1" applyAlignment="1">
      <alignment horizontal="right" vertical="center"/>
    </xf>
    <xf numFmtId="0" fontId="2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171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left" vertical="center" wrapText="1"/>
    </xf>
    <xf numFmtId="1" fontId="3" fillId="11" borderId="22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quotePrefix="1" applyFont="1" applyFill="1" applyBorder="1" applyAlignment="1">
      <alignment horizontal="center" vertical="center"/>
    </xf>
    <xf numFmtId="1" fontId="3" fillId="11" borderId="1" xfId="0" quotePrefix="1" applyNumberFormat="1" applyFont="1" applyFill="1" applyBorder="1" applyAlignment="1">
      <alignment horizontal="center" vertical="center"/>
    </xf>
    <xf numFmtId="170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167" fontId="3" fillId="0" borderId="24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72" fontId="3" fillId="0" borderId="24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15" borderId="1" xfId="0" applyFont="1" applyFill="1" applyBorder="1" applyAlignment="1">
      <alignment horizontal="center" vertical="center" wrapText="1"/>
    </xf>
    <xf numFmtId="164" fontId="4" fillId="15" borderId="0" xfId="0" applyNumberFormat="1" applyFont="1" applyFill="1" applyAlignment="1">
      <alignment horizontal="center" vertical="center"/>
    </xf>
    <xf numFmtId="0" fontId="0" fillId="0" borderId="15" xfId="0" applyBorder="1"/>
    <xf numFmtId="0" fontId="19" fillId="2" borderId="1" xfId="0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8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3" fontId="19" fillId="6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3" fillId="8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7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 vertical="center"/>
    </xf>
    <xf numFmtId="17" fontId="3" fillId="3" borderId="8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right" vertical="center"/>
    </xf>
    <xf numFmtId="3" fontId="3" fillId="10" borderId="9" xfId="0" applyNumberFormat="1" applyFont="1" applyFill="1" applyBorder="1" applyAlignment="1">
      <alignment horizontal="right" vertical="center"/>
    </xf>
    <xf numFmtId="3" fontId="3" fillId="3" borderId="10" xfId="0" applyNumberFormat="1" applyFont="1" applyFill="1" applyBorder="1" applyAlignment="1">
      <alignment horizontal="right" vertical="center"/>
    </xf>
    <xf numFmtId="3" fontId="3" fillId="10" borderId="10" xfId="0" applyNumberFormat="1" applyFont="1" applyFill="1" applyBorder="1" applyAlignment="1">
      <alignment horizontal="right" vertical="center"/>
    </xf>
    <xf numFmtId="17" fontId="3" fillId="3" borderId="11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3" fillId="0" borderId="12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right" vertical="center"/>
    </xf>
    <xf numFmtId="164" fontId="4" fillId="0" borderId="15" xfId="0" applyNumberFormat="1" applyFont="1" applyBorder="1" applyAlignment="1">
      <alignment horizontal="center" vertical="center"/>
    </xf>
    <xf numFmtId="9" fontId="3" fillId="0" borderId="15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5" xfId="0" applyFont="1" applyBorder="1" applyAlignment="1">
      <alignment vertical="center"/>
    </xf>
    <xf numFmtId="164" fontId="3" fillId="0" borderId="15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3" fontId="21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9" fontId="3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7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0" fillId="0" borderId="27" xfId="0" pivotButton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4" fontId="3" fillId="0" borderId="24" xfId="0" applyNumberFormat="1" applyFont="1" applyBorder="1" applyAlignment="1">
      <alignment horizontal="center" vertical="center"/>
    </xf>
    <xf numFmtId="0" fontId="3" fillId="16" borderId="23" xfId="0" applyFont="1" applyFill="1" applyBorder="1" applyAlignment="1">
      <alignment horizontal="center" vertical="center" wrapText="1"/>
    </xf>
    <xf numFmtId="0" fontId="3" fillId="16" borderId="1" xfId="0" quotePrefix="1" applyFont="1" applyFill="1" applyBorder="1" applyAlignment="1">
      <alignment horizontal="center" vertical="center"/>
    </xf>
    <xf numFmtId="0" fontId="3" fillId="16" borderId="1" xfId="0" quotePrefix="1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/>
    </xf>
    <xf numFmtId="169" fontId="3" fillId="16" borderId="1" xfId="0" applyNumberFormat="1" applyFont="1" applyFill="1" applyBorder="1" applyAlignment="1">
      <alignment horizontal="center" vertical="center"/>
    </xf>
    <xf numFmtId="3" fontId="2" fillId="9" borderId="5" xfId="0" applyNumberFormat="1" applyFont="1" applyFill="1" applyBorder="1" applyAlignment="1">
      <alignment horizontal="center" vertical="center"/>
    </xf>
    <xf numFmtId="0" fontId="9" fillId="0" borderId="6" xfId="0" applyFont="1" applyBorder="1"/>
    <xf numFmtId="0" fontId="9" fillId="0" borderId="7" xfId="0" applyFont="1" applyBorder="1"/>
    <xf numFmtId="0" fontId="2" fillId="9" borderId="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26" xfId="0" applyFont="1" applyBorder="1"/>
    <xf numFmtId="168" fontId="3" fillId="11" borderId="16" xfId="0" applyNumberFormat="1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9" fillId="0" borderId="17" xfId="0" applyFont="1" applyBorder="1"/>
    <xf numFmtId="168" fontId="3" fillId="6" borderId="16" xfId="0" applyNumberFormat="1" applyFont="1" applyFill="1" applyBorder="1" applyAlignment="1">
      <alignment horizontal="center" vertical="center"/>
    </xf>
    <xf numFmtId="167" fontId="3" fillId="6" borderId="16" xfId="0" applyNumberFormat="1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9" fillId="0" borderId="14" xfId="0" applyFont="1" applyBorder="1"/>
    <xf numFmtId="0" fontId="9" fillId="0" borderId="15" xfId="0" applyFont="1" applyBorder="1"/>
    <xf numFmtId="0" fontId="3" fillId="6" borderId="16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347"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070C0"/>
      </font>
      <fill>
        <patternFill patternType="none"/>
      </fill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4" formatCode="0.0%"/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righ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family val="2"/>
      </font>
      <alignment horizontal="center" vertical="center" textRotation="0" wrapText="0" indent="0" justifyLastLine="0" shrinkToFit="0" readingOrder="0"/>
    </dxf>
    <dxf>
      <font>
        <b/>
        <family val="2"/>
      </font>
      <alignment horizontal="right" vertical="center" textRotation="0" wrapText="0" indent="0" justifyLastLine="0" shrinkToFit="0" readingOrder="0"/>
    </dxf>
    <dxf>
      <font>
        <b/>
        <family val="2"/>
      </font>
      <alignment horizontal="right" vertical="center" textRotation="0" wrapText="0" indent="0" justifyLastLine="0" shrinkToFit="0" readingOrder="0"/>
    </dxf>
    <dxf>
      <font>
        <b/>
        <family val="2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color auto="1"/>
        <name val="Calibri"/>
      </font>
    </dxf>
    <dxf>
      <font>
        <strike val="0"/>
        <outline val="0"/>
        <shadow val="0"/>
        <u val="none"/>
        <color auto="1"/>
        <name val="Calibri"/>
      </font>
    </dxf>
    <dxf>
      <font>
        <strike val="0"/>
        <outline val="0"/>
        <shadow val="0"/>
        <u val="none"/>
        <vertAlign val="baseline"/>
        <color auto="1"/>
        <name val="Calibri"/>
      </font>
    </dxf>
    <dxf>
      <font>
        <strike val="0"/>
        <outline val="0"/>
        <shadow val="0"/>
        <u val="none"/>
        <vertAlign val="baseline"/>
        <color auto="1"/>
        <name val="Calibri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theme="5"/>
          <bgColor theme="5"/>
        </patternFill>
      </fill>
    </dxf>
  </dxfs>
  <tableStyles count="60">
    <tableStyle name="1. Materie Prime-style" pivot="0" count="3" xr9:uid="{00000000-0011-0000-FFFF-FFFF00000000}">
      <tableStyleElement type="headerRow" dxfId="346"/>
      <tableStyleElement type="firstRowStripe" dxfId="345"/>
      <tableStyleElement type="secondRowStripe" dxfId="344"/>
    </tableStyle>
    <tableStyle name="1. Materie Prime-style 2" pivot="0" count="3" xr9:uid="{00000000-0011-0000-FFFF-FFFF01000000}">
      <tableStyleElement type="headerRow" dxfId="343"/>
      <tableStyleElement type="firstRowStripe" dxfId="342"/>
      <tableStyleElement type="secondRowStripe" dxfId="341"/>
    </tableStyle>
    <tableStyle name="4. Prodotti Finiti-style" pivot="0" count="3" xr9:uid="{00000000-0011-0000-FFFF-FFFF02000000}">
      <tableStyleElement type="headerRow" dxfId="340"/>
      <tableStyleElement type="firstRowStripe" dxfId="339"/>
      <tableStyleElement type="secondRowStripe" dxfId="338"/>
    </tableStyle>
    <tableStyle name="Prodotti finiti mese-style" pivot="0" count="3" xr9:uid="{00000000-0011-0000-FFFF-FFFF03000000}">
      <tableStyleElement type="headerRow" dxfId="337"/>
      <tableStyleElement type="firstRowStripe" dxfId="336"/>
      <tableStyleElement type="secondRowStripe" dxfId="335"/>
    </tableStyle>
    <tableStyle name="Prodotti finiti mese-style 2" pivot="0" count="3" xr9:uid="{00000000-0011-0000-FFFF-FFFF04000000}">
      <tableStyleElement type="headerRow" dxfId="334"/>
      <tableStyleElement type="firstRowStripe" dxfId="333"/>
      <tableStyleElement type="secondRowStripe" dxfId="332"/>
    </tableStyle>
    <tableStyle name="Prodotti finiti mese-style 3" pivot="0" count="3" xr9:uid="{00000000-0011-0000-FFFF-FFFF05000000}">
      <tableStyleElement type="headerRow" dxfId="331"/>
      <tableStyleElement type="firstRowStripe" dxfId="330"/>
      <tableStyleElement type="secondRowStripe" dxfId="329"/>
    </tableStyle>
    <tableStyle name="Prodotti finiti mese-style 4" pivot="0" count="3" xr9:uid="{00000000-0011-0000-FFFF-FFFF06000000}">
      <tableStyleElement type="headerRow" dxfId="328"/>
      <tableStyleElement type="firstRowStripe" dxfId="327"/>
      <tableStyleElement type="secondRowStripe" dxfId="326"/>
    </tableStyle>
    <tableStyle name="Prodotti finiti mese-style 5" pivot="0" count="3" xr9:uid="{00000000-0011-0000-FFFF-FFFF07000000}">
      <tableStyleElement type="headerRow" dxfId="325"/>
      <tableStyleElement type="firstRowStripe" dxfId="324"/>
      <tableStyleElement type="secondRowStripe" dxfId="323"/>
    </tableStyle>
    <tableStyle name="6. Consumo Risorse Idriche-style" pivot="0" count="3" xr9:uid="{00000000-0011-0000-FFFF-FFFF08000000}">
      <tableStyleElement type="headerRow" dxfId="322"/>
      <tableStyleElement type="firstRowStripe" dxfId="321"/>
      <tableStyleElement type="secondRowStripe" dxfId="320"/>
    </tableStyle>
    <tableStyle name="6. Consumo Risorse Idriche-style 2" pivot="0" count="3" xr9:uid="{00000000-0011-0000-FFFF-FFFF09000000}">
      <tableStyleElement type="headerRow" dxfId="319"/>
      <tableStyleElement type="firstRowStripe" dxfId="318"/>
      <tableStyleElement type="secondRowStripe" dxfId="317"/>
    </tableStyle>
    <tableStyle name="6. Consumo Risorse Idriche-style 3" pivot="0" count="3" xr9:uid="{00000000-0011-0000-FFFF-FFFF0A000000}">
      <tableStyleElement type="headerRow" dxfId="316"/>
      <tableStyleElement type="firstRowStripe" dxfId="315"/>
      <tableStyleElement type="secondRowStripe" dxfId="314"/>
    </tableStyle>
    <tableStyle name="Risorse Idriche mese-style" pivot="0" count="3" xr9:uid="{00000000-0011-0000-FFFF-FFFF0B000000}">
      <tableStyleElement type="headerRow" dxfId="313"/>
      <tableStyleElement type="firstRowStripe" dxfId="312"/>
      <tableStyleElement type="secondRowStripe" dxfId="311"/>
    </tableStyle>
    <tableStyle name="Risorse Idriche mese-style 2" pivot="0" count="3" xr9:uid="{00000000-0011-0000-FFFF-FFFF0C000000}">
      <tableStyleElement type="headerRow" dxfId="310"/>
      <tableStyleElement type="firstRowStripe" dxfId="309"/>
      <tableStyleElement type="secondRowStripe" dxfId="308"/>
    </tableStyle>
    <tableStyle name="Risorse Idriche mese-style 3" pivot="0" count="3" xr9:uid="{00000000-0011-0000-FFFF-FFFF0D000000}">
      <tableStyleElement type="headerRow" dxfId="307"/>
      <tableStyleElement type="firstRowStripe" dxfId="306"/>
      <tableStyleElement type="secondRowStripe" dxfId="305"/>
    </tableStyle>
    <tableStyle name="Risorse Idriche mese-style 4" pivot="0" count="3" xr9:uid="{00000000-0011-0000-FFFF-FFFF0E000000}">
      <tableStyleElement type="headerRow" dxfId="304"/>
      <tableStyleElement type="firstRowStripe" dxfId="303"/>
      <tableStyleElement type="secondRowStripe" dxfId="302"/>
    </tableStyle>
    <tableStyle name="Risorse Idriche mese-style 5" pivot="0" count="3" xr9:uid="{00000000-0011-0000-FFFF-FFFF0F000000}">
      <tableStyleElement type="headerRow" dxfId="301"/>
      <tableStyleElement type="firstRowStripe" dxfId="300"/>
      <tableStyleElement type="secondRowStripe" dxfId="299"/>
    </tableStyle>
    <tableStyle name="R. Idriche (letture) -style" pivot="0" count="3" xr9:uid="{00000000-0011-0000-FFFF-FFFF10000000}">
      <tableStyleElement type="headerRow" dxfId="298"/>
      <tableStyleElement type="firstRowStripe" dxfId="297"/>
      <tableStyleElement type="secondRowStripe" dxfId="296"/>
    </tableStyle>
    <tableStyle name="(Volumi Scarico)-style" pivot="0" count="3" xr9:uid="{00000000-0011-0000-FFFF-FFFF11000000}">
      <tableStyleElement type="headerRow" dxfId="295"/>
      <tableStyleElement type="firstRowStripe" dxfId="294"/>
      <tableStyleElement type="secondRowStripe" dxfId="293"/>
    </tableStyle>
    <tableStyle name="(Volumi Scarico)-style 2" pivot="0" count="3" xr9:uid="{00000000-0011-0000-FFFF-FFFF12000000}">
      <tableStyleElement type="headerRow" dxfId="292"/>
      <tableStyleElement type="firstRowStripe" dxfId="291"/>
      <tableStyleElement type="secondRowStripe" dxfId="290"/>
    </tableStyle>
    <tableStyle name="(Volumi Scarico)-style 3" pivot="0" count="3" xr9:uid="{00000000-0011-0000-FFFF-FFFF13000000}">
      <tableStyleElement type="headerRow" dxfId="289"/>
      <tableStyleElement type="firstRowStripe" dxfId="288"/>
      <tableStyleElement type="secondRowStripe" dxfId="287"/>
    </tableStyle>
    <tableStyle name="Analisi Volumi-style" pivot="0" count="3" xr9:uid="{00000000-0011-0000-FFFF-FFFF14000000}">
      <tableStyleElement type="headerRow" dxfId="286"/>
      <tableStyleElement type="firstRowStripe" dxfId="285"/>
      <tableStyleElement type="secondRowStripe" dxfId="284"/>
    </tableStyle>
    <tableStyle name="7. Risorse Energetiche-style" pivot="0" count="3" xr9:uid="{00000000-0011-0000-FFFF-FFFF15000000}">
      <tableStyleElement type="headerRow" dxfId="283"/>
      <tableStyleElement type="firstRowStripe" dxfId="282"/>
      <tableStyleElement type="secondRowStripe" dxfId="281"/>
    </tableStyle>
    <tableStyle name="7. Risorse Energetiche-style 2" pivot="0" count="3" xr9:uid="{00000000-0011-0000-FFFF-FFFF16000000}">
      <tableStyleElement type="headerRow" dxfId="280"/>
      <tableStyleElement type="firstRowStripe" dxfId="279"/>
      <tableStyleElement type="secondRowStripe" dxfId="278"/>
    </tableStyle>
    <tableStyle name="7. Risorse Energetiche-style 3" pivot="0" count="3" xr9:uid="{00000000-0011-0000-FFFF-FFFF17000000}">
      <tableStyleElement type="headerRow" dxfId="277"/>
      <tableStyleElement type="firstRowStripe" dxfId="276"/>
      <tableStyleElement type="secondRowStripe" dxfId="275"/>
    </tableStyle>
    <tableStyle name="7. Risorse Energetiche-style 4" pivot="0" count="3" xr9:uid="{00000000-0011-0000-FFFF-FFFF18000000}">
      <tableStyleElement type="headerRow" dxfId="274"/>
      <tableStyleElement type="firstRowStripe" dxfId="273"/>
      <tableStyleElement type="secondRowStripe" dxfId="272"/>
    </tableStyle>
    <tableStyle name="7. Risorse Energetiche-style 5" pivot="0" count="3" xr9:uid="{00000000-0011-0000-FFFF-FFFF19000000}">
      <tableStyleElement type="headerRow" dxfId="271"/>
      <tableStyleElement type="firstRowStripe" dxfId="270"/>
      <tableStyleElement type="secondRowStripe" dxfId="269"/>
    </tableStyle>
    <tableStyle name="7. Risorse Energetiche-style 6" pivot="0" count="3" xr9:uid="{00000000-0011-0000-FFFF-FFFF1A000000}">
      <tableStyleElement type="headerRow" dxfId="268"/>
      <tableStyleElement type="firstRowStripe" dxfId="267"/>
      <tableStyleElement type="secondRowStripe" dxfId="266"/>
    </tableStyle>
    <tableStyle name="7. Risorse Energetiche-style 7" pivot="0" count="3" xr9:uid="{00000000-0011-0000-FFFF-FFFF1B000000}">
      <tableStyleElement type="headerRow" dxfId="265"/>
      <tableStyleElement type="firstRowStripe" dxfId="264"/>
      <tableStyleElement type="secondRowStripe" dxfId="263"/>
    </tableStyle>
    <tableStyle name="R. Energetiche-Comb. (letture)-style" pivot="0" count="3" xr9:uid="{00000000-0011-0000-FFFF-FFFF1C000000}">
      <tableStyleElement type="headerRow" dxfId="262"/>
      <tableStyleElement type="firstRowStripe" dxfId="261"/>
      <tableStyleElement type="secondRowStripe" dxfId="260"/>
    </tableStyle>
    <tableStyle name="R. Energetiche-Comb. (letture)-style 2" pivot="0" count="3" xr9:uid="{00000000-0011-0000-FFFF-FFFF1D000000}">
      <tableStyleElement type="headerRow" dxfId="259"/>
      <tableStyleElement type="firstRowStripe" dxfId="258"/>
      <tableStyleElement type="secondRowStripe" dxfId="257"/>
    </tableStyle>
    <tableStyle name="R. Energetiche-Comb. (letture)-style 3" pivot="0" count="4" xr9:uid="{00000000-0011-0000-FFFF-FFFF1E000000}">
      <tableStyleElement type="headerRow" dxfId="256"/>
      <tableStyleElement type="totalRow" dxfId="255"/>
      <tableStyleElement type="firstRowStripe" dxfId="254"/>
      <tableStyleElement type="secondRowStripe" dxfId="253"/>
    </tableStyle>
    <tableStyle name="R. Energetiche-Comb. (letture)-style 4" pivot="0" count="3" xr9:uid="{00000000-0011-0000-FFFF-FFFF1F000000}">
      <tableStyleElement type="headerRow" dxfId="252"/>
      <tableStyleElement type="firstRowStripe" dxfId="251"/>
      <tableStyleElement type="secondRowStripe" dxfId="250"/>
    </tableStyle>
    <tableStyle name="GHG-CO2 eq-style" pivot="0" count="4" xr9:uid="{00000000-0011-0000-FFFF-FFFF20000000}">
      <tableStyleElement type="headerRow" dxfId="249"/>
      <tableStyleElement type="totalRow" dxfId="248"/>
      <tableStyleElement type="firstRowStripe" dxfId="247"/>
      <tableStyleElement type="secondRowStripe" dxfId="246"/>
    </tableStyle>
    <tableStyle name="GHG-CO2 eq-style 2" pivot="0" count="4" xr9:uid="{00000000-0011-0000-FFFF-FFFF21000000}">
      <tableStyleElement type="headerRow" dxfId="245"/>
      <tableStyleElement type="totalRow" dxfId="244"/>
      <tableStyleElement type="firstRowStripe" dxfId="243"/>
      <tableStyleElement type="secondRowStripe" dxfId="242"/>
    </tableStyle>
    <tableStyle name="GHG-CO2 eq-style 3" pivot="0" count="4" xr9:uid="{00000000-0011-0000-FFFF-FFFF22000000}">
      <tableStyleElement type="headerRow" dxfId="241"/>
      <tableStyleElement type="totalRow" dxfId="240"/>
      <tableStyleElement type="firstRowStripe" dxfId="239"/>
      <tableStyleElement type="secondRowStripe" dxfId="238"/>
    </tableStyle>
    <tableStyle name="GHG-CO2 eq-style 4" pivot="0" count="4" xr9:uid="{00000000-0011-0000-FFFF-FFFF23000000}">
      <tableStyleElement type="headerRow" dxfId="237"/>
      <tableStyleElement type="totalRow" dxfId="236"/>
      <tableStyleElement type="firstRowStripe" dxfId="235"/>
      <tableStyleElement type="secondRowStripe" dxfId="234"/>
    </tableStyle>
    <tableStyle name="Risorse Energetiche mese-style" pivot="0" count="3" xr9:uid="{00000000-0011-0000-FFFF-FFFF24000000}">
      <tableStyleElement type="headerRow" dxfId="233"/>
      <tableStyleElement type="firstRowStripe" dxfId="232"/>
      <tableStyleElement type="secondRowStripe" dxfId="231"/>
    </tableStyle>
    <tableStyle name="Risorse Energetiche mese-style 2" pivot="0" count="3" xr9:uid="{00000000-0011-0000-FFFF-FFFF25000000}">
      <tableStyleElement type="headerRow" dxfId="230"/>
      <tableStyleElement type="firstRowStripe" dxfId="229"/>
      <tableStyleElement type="secondRowStripe" dxfId="228"/>
    </tableStyle>
    <tableStyle name="Risorse Energetiche mese-style 3" pivot="0" count="3" xr9:uid="{00000000-0011-0000-FFFF-FFFF26000000}">
      <tableStyleElement type="headerRow" dxfId="227"/>
      <tableStyleElement type="firstRowStripe" dxfId="226"/>
      <tableStyleElement type="secondRowStripe" dxfId="225"/>
    </tableStyle>
    <tableStyle name="Risorse Energetiche mese-style 4" pivot="0" count="3" xr9:uid="{00000000-0011-0000-FFFF-FFFF27000000}">
      <tableStyleElement type="headerRow" dxfId="224"/>
      <tableStyleElement type="firstRowStripe" dxfId="223"/>
      <tableStyleElement type="secondRowStripe" dxfId="222"/>
    </tableStyle>
    <tableStyle name="8. Combustibili-style" pivot="0" count="3" xr9:uid="{00000000-0011-0000-FFFF-FFFF28000000}">
      <tableStyleElement type="headerRow" dxfId="221"/>
      <tableStyleElement type="firstRowStripe" dxfId="220"/>
      <tableStyleElement type="secondRowStripe" dxfId="219"/>
    </tableStyle>
    <tableStyle name="8. Combustibili-style 2" pivot="0" count="3" xr9:uid="{00000000-0011-0000-FFFF-FFFF29000000}">
      <tableStyleElement type="headerRow" dxfId="218"/>
      <tableStyleElement type="firstRowStripe" dxfId="217"/>
      <tableStyleElement type="secondRowStripe" dxfId="216"/>
    </tableStyle>
    <tableStyle name="9, Emissioni in Aria Convogliat-style" pivot="0" count="3" xr9:uid="{00000000-0011-0000-FFFF-FFFF2A000000}">
      <tableStyleElement type="headerRow" dxfId="215"/>
      <tableStyleElement type="firstRowStripe" dxfId="214"/>
      <tableStyleElement type="secondRowStripe" dxfId="213"/>
    </tableStyle>
    <tableStyle name="9, Emissioni in Aria Convogliat-style 2" pivot="0" count="3" xr9:uid="{00000000-0011-0000-FFFF-FFFF2B000000}">
      <tableStyleElement type="headerRow" dxfId="212"/>
      <tableStyleElement type="firstRowStripe" dxfId="211"/>
      <tableStyleElement type="secondRowStripe" dxfId="210"/>
    </tableStyle>
    <tableStyle name="13. Uscita Depuratore-style" pivot="0" count="3" xr9:uid="{00000000-0011-0000-FFFF-FFFF2C000000}">
      <tableStyleElement type="headerRow" dxfId="209"/>
      <tableStyleElement type="firstRowStripe" dxfId="208"/>
      <tableStyleElement type="secondRowStripe" dxfId="207"/>
    </tableStyle>
    <tableStyle name="13. Uscita Depuratore-style 2" pivot="0" count="3" xr9:uid="{00000000-0011-0000-FFFF-FFFF2D000000}">
      <tableStyleElement type="headerRow" dxfId="206"/>
      <tableStyleElement type="firstRowStripe" dxfId="205"/>
      <tableStyleElement type="secondRowStripe" dxfId="204"/>
    </tableStyle>
    <tableStyle name="15. Rifiuti in uscita-style" pivot="0" count="4" xr9:uid="{00000000-0011-0000-FFFF-FFFF2E000000}">
      <tableStyleElement type="headerRow" dxfId="203"/>
      <tableStyleElement type="totalRow" dxfId="202"/>
      <tableStyleElement type="firstRowStripe" dxfId="201"/>
      <tableStyleElement type="secondRowStripe" dxfId="200"/>
    </tableStyle>
    <tableStyle name="Rifiuti Pivot-style" pivot="0" count="3" xr9:uid="{00000000-0011-0000-FFFF-FFFF2F000000}">
      <tableStyleElement type="headerRow" dxfId="199"/>
      <tableStyleElement type="firstRowStripe" dxfId="198"/>
      <tableStyleElement type="secondRowStripe" dxfId="197"/>
    </tableStyle>
    <tableStyle name="Rifiuti 2023-style" pivot="0" count="3" xr9:uid="{00000000-0011-0000-FFFF-FFFF30000000}">
      <tableStyleElement type="headerRow" dxfId="196"/>
      <tableStyleElement type="firstRowStripe" dxfId="195"/>
      <tableStyleElement type="secondRowStripe" dxfId="194"/>
    </tableStyle>
    <tableStyle name="Rifiuti 2024-style" pivot="0" count="3" xr9:uid="{00000000-0011-0000-FFFF-FFFF31000000}">
      <tableStyleElement type="headerRow" dxfId="193"/>
      <tableStyleElement type="firstRowStripe" dxfId="192"/>
      <tableStyleElement type="secondRowStripe" dxfId="191"/>
    </tableStyle>
    <tableStyle name="Rifiuti mese-style" pivot="0" count="3" xr9:uid="{00000000-0011-0000-FFFF-FFFF32000000}">
      <tableStyleElement type="headerRow" dxfId="190"/>
      <tableStyleElement type="firstRowStripe" dxfId="189"/>
      <tableStyleElement type="secondRowStripe" dxfId="188"/>
    </tableStyle>
    <tableStyle name="Rifiuti mese-style 2" pivot="0" count="3" xr9:uid="{00000000-0011-0000-FFFF-FFFF33000000}">
      <tableStyleElement type="headerRow" dxfId="187"/>
      <tableStyleElement type="firstRowStripe" dxfId="186"/>
      <tableStyleElement type="secondRowStripe" dxfId="185"/>
    </tableStyle>
    <tableStyle name="Rifiuti mese-style 3" pivot="0" count="3" xr9:uid="{00000000-0011-0000-FFFF-FFFF34000000}">
      <tableStyleElement type="headerRow" dxfId="184"/>
      <tableStyleElement type="firstRowStripe" dxfId="183"/>
      <tableStyleElement type="secondRowStripe" dxfId="182"/>
    </tableStyle>
    <tableStyle name="Rifiuti mese-style 4" pivot="0" count="3" xr9:uid="{00000000-0011-0000-FFFF-FFFF35000000}">
      <tableStyleElement type="headerRow" dxfId="181"/>
      <tableStyleElement type="firstRowStripe" dxfId="180"/>
      <tableStyleElement type="secondRowStripe" dxfId="179"/>
    </tableStyle>
    <tableStyle name="21. Indicatori Performance-style" pivot="0" count="3" xr9:uid="{00000000-0011-0000-FFFF-FFFF36000000}">
      <tableStyleElement type="headerRow" dxfId="178"/>
      <tableStyleElement type="firstRowStripe" dxfId="177"/>
      <tableStyleElement type="secondRowStripe" dxfId="176"/>
    </tableStyle>
    <tableStyle name="21. Indicatori Performance-style 2" pivot="0" count="3" xr9:uid="{00000000-0011-0000-FFFF-FFFF37000000}">
      <tableStyleElement type="headerRow" dxfId="175"/>
      <tableStyleElement type="firstRowStripe" dxfId="174"/>
      <tableStyleElement type="secondRowStripe" dxfId="173"/>
    </tableStyle>
    <tableStyle name="22. Indicatori Circolarità-style" pivot="0" count="3" xr9:uid="{00000000-0011-0000-FFFF-FFFF38000000}">
      <tableStyleElement type="headerRow" dxfId="172"/>
      <tableStyleElement type="firstRowStripe" dxfId="171"/>
      <tableStyleElement type="secondRowStripe" dxfId="170"/>
    </tableStyle>
    <tableStyle name="22. Indicatori Circolarità-style 2" pivot="0" count="3" xr9:uid="{00000000-0011-0000-FFFF-FFFF39000000}">
      <tableStyleElement type="headerRow" dxfId="169"/>
      <tableStyleElement type="firstRowStripe" dxfId="168"/>
      <tableStyleElement type="secondRowStripe" dxfId="167"/>
    </tableStyle>
    <tableStyle name="Indicatori Circolarità mese-style" pivot="0" count="3" xr9:uid="{00000000-0011-0000-FFFF-FFFF3A000000}">
      <tableStyleElement type="headerRow" dxfId="166"/>
      <tableStyleElement type="firstRowStripe" dxfId="165"/>
      <tableStyleElement type="secondRowStripe" dxfId="164"/>
    </tableStyle>
    <tableStyle name="Indicatori Circolarità mese-style 2" pivot="0" count="3" xr9:uid="{00000000-0011-0000-FFFF-FFFF3B000000}">
      <tableStyleElement type="headerRow" dxfId="163"/>
      <tableStyleElement type="firstRowStripe" dxfId="162"/>
      <tableStyleElement type="secondRowStripe" dxfId="1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it-IT" sz="1400" b="0" i="0">
                <a:solidFill>
                  <a:srgbClr val="757575"/>
                </a:solidFill>
                <a:latin typeface="+mn-lt"/>
              </a:rPr>
              <a:t>Recuperati/Smaltiti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D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'Rifiuti Pivot'!$M$3:$M$12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'Rifiuti Pivot'!$N$3:$N$12</c:f>
              <c:numCache>
                <c:formatCode>#,##0</c:formatCode>
                <c:ptCount val="10"/>
                <c:pt idx="4">
                  <c:v>1781</c:v>
                </c:pt>
                <c:pt idx="5">
                  <c:v>12440</c:v>
                </c:pt>
                <c:pt idx="7">
                  <c:v>235</c:v>
                </c:pt>
                <c:pt idx="8">
                  <c:v>225265</c:v>
                </c:pt>
                <c:pt idx="9">
                  <c:v>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573-4268-9B21-98070A3E8B2B}"/>
            </c:ext>
          </c:extLst>
        </c:ser>
        <c:ser>
          <c:idx val="1"/>
          <c:order val="1"/>
          <c:tx>
            <c:v>R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'Rifiuti Pivot'!$M$3:$M$12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'Rifiuti Pivot'!$P$3:$P$12</c:f>
              <c:numCache>
                <c:formatCode>#,##0</c:formatCode>
                <c:ptCount val="10"/>
                <c:pt idx="1">
                  <c:v>104680</c:v>
                </c:pt>
                <c:pt idx="2">
                  <c:v>119474</c:v>
                </c:pt>
                <c:pt idx="3">
                  <c:v>100468</c:v>
                </c:pt>
                <c:pt idx="4">
                  <c:v>91144</c:v>
                </c:pt>
                <c:pt idx="5">
                  <c:v>100830</c:v>
                </c:pt>
                <c:pt idx="6">
                  <c:v>116390</c:v>
                </c:pt>
                <c:pt idx="7">
                  <c:v>172510</c:v>
                </c:pt>
                <c:pt idx="8">
                  <c:v>158686</c:v>
                </c:pt>
                <c:pt idx="9">
                  <c:v>38880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573-4268-9B21-98070A3E8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736422"/>
        <c:axId val="762664689"/>
      </c:barChart>
      <c:catAx>
        <c:axId val="2017364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762664689"/>
        <c:crosses val="autoZero"/>
        <c:auto val="1"/>
        <c:lblAlgn val="ctr"/>
        <c:lblOffset val="100"/>
        <c:noMultiLvlLbl val="1"/>
      </c:catAx>
      <c:valAx>
        <c:axId val="7626646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20173642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it-IT" sz="1400" b="0" i="0">
                <a:solidFill>
                  <a:srgbClr val="757575"/>
                </a:solidFill>
                <a:latin typeface="+mn-lt"/>
              </a:rPr>
              <a:t>Pericolosi/Non Pericolosi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NP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'Rifiuti Pivot'!$M$3:$M$12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'Rifiuti Pivot'!$R$3:$R$12</c:f>
              <c:numCache>
                <c:formatCode>#,##0</c:formatCode>
                <c:ptCount val="10"/>
                <c:pt idx="1">
                  <c:v>104680</c:v>
                </c:pt>
                <c:pt idx="2">
                  <c:v>119474</c:v>
                </c:pt>
                <c:pt idx="3">
                  <c:v>100468</c:v>
                </c:pt>
                <c:pt idx="4">
                  <c:v>90895</c:v>
                </c:pt>
                <c:pt idx="5">
                  <c:v>108830</c:v>
                </c:pt>
                <c:pt idx="6">
                  <c:v>116390</c:v>
                </c:pt>
                <c:pt idx="7">
                  <c:v>171335</c:v>
                </c:pt>
                <c:pt idx="8">
                  <c:v>378140</c:v>
                </c:pt>
                <c:pt idx="9">
                  <c:v>38860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611-4724-AF60-D2DA9ADB8AAD}"/>
            </c:ext>
          </c:extLst>
        </c:ser>
        <c:ser>
          <c:idx val="1"/>
          <c:order val="1"/>
          <c:tx>
            <c:v>P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'Rifiuti Pivot'!$M$3:$M$12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'Rifiuti Pivot'!$T$3:$T$12</c:f>
              <c:numCache>
                <c:formatCode>#,##0</c:formatCode>
                <c:ptCount val="10"/>
                <c:pt idx="4">
                  <c:v>2030</c:v>
                </c:pt>
                <c:pt idx="5">
                  <c:v>4440</c:v>
                </c:pt>
                <c:pt idx="7">
                  <c:v>1410</c:v>
                </c:pt>
                <c:pt idx="8">
                  <c:v>5811</c:v>
                </c:pt>
                <c:pt idx="9">
                  <c:v>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611-4724-AF60-D2DA9ADB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936391"/>
        <c:axId val="1134732082"/>
      </c:barChart>
      <c:catAx>
        <c:axId val="452936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134732082"/>
        <c:crosses val="autoZero"/>
        <c:auto val="1"/>
        <c:lblAlgn val="ctr"/>
        <c:lblOffset val="100"/>
        <c:noMultiLvlLbl val="1"/>
      </c:catAx>
      <c:valAx>
        <c:axId val="11347320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452936391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Variazione del consumo energetico </a:t>
            </a:r>
          </a:p>
          <a:p>
            <a:pPr>
              <a:defRPr/>
            </a:pPr>
            <a:r>
              <a:rPr lang="it-IT"/>
              <a:t>per unità di prodotto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'22. Indicatori Circolarità'!$F$4</c:f>
              <c:strCache>
                <c:ptCount val="1"/>
                <c:pt idx="0">
                  <c:v>diff 20-19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Circolarità'!$A$8</c:f>
              <c:strCache>
                <c:ptCount val="1"/>
                <c:pt idx="0">
                  <c:v>Variazione del consumo energetico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Circolarità'!$F$5:$F$9</c15:sqref>
                  </c15:fullRef>
                </c:ext>
              </c:extLst>
              <c:f>'22. Indicatori Circolarità'!$F$8</c:f>
              <c:numCache>
                <c:formatCode>0%</c:formatCode>
                <c:ptCount val="1"/>
                <c:pt idx="0">
                  <c:v>-6.5014575924000582E-3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B-4D86-9C26-8C010444486F}"/>
            </c:ext>
          </c:extLst>
        </c:ser>
        <c:ser>
          <c:idx val="1"/>
          <c:order val="1"/>
          <c:tx>
            <c:strRef>
              <c:f>'22. Indicatori Circolarità'!$H$4</c:f>
              <c:strCache>
                <c:ptCount val="1"/>
                <c:pt idx="0">
                  <c:v>diff 21-20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Circolarità'!$A$8</c:f>
              <c:strCache>
                <c:ptCount val="1"/>
                <c:pt idx="0">
                  <c:v>Variazione del consumo energetico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Circolarità'!$H$5:$H$9</c15:sqref>
                  </c15:fullRef>
                </c:ext>
              </c:extLst>
              <c:f>'22. Indicatori Circolarità'!$H$8</c:f>
              <c:numCache>
                <c:formatCode>0.0%</c:formatCode>
                <c:ptCount val="1"/>
                <c:pt idx="0">
                  <c:v>2.6555380886133132E-2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B-4D86-9C26-8C010444486F}"/>
            </c:ext>
          </c:extLst>
        </c:ser>
        <c:ser>
          <c:idx val="2"/>
          <c:order val="2"/>
          <c:tx>
            <c:strRef>
              <c:f>'22. Indicatori Circolarità'!$J$4</c:f>
              <c:strCache>
                <c:ptCount val="1"/>
                <c:pt idx="0">
                  <c:v>diff 22-21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Circolarità'!$A$8</c:f>
              <c:strCache>
                <c:ptCount val="1"/>
                <c:pt idx="0">
                  <c:v>Variazione del consumo energetico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Circolarità'!$J$5:$J$9</c15:sqref>
                  </c15:fullRef>
                </c:ext>
              </c:extLst>
              <c:f>'22. Indicatori Circolarità'!$J$8</c:f>
              <c:numCache>
                <c:formatCode>0.0%</c:formatCode>
                <c:ptCount val="1"/>
                <c:pt idx="0">
                  <c:v>-1.340335944427443E-2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B-4D86-9C26-8C010444486F}"/>
            </c:ext>
          </c:extLst>
        </c:ser>
        <c:ser>
          <c:idx val="3"/>
          <c:order val="3"/>
          <c:tx>
            <c:strRef>
              <c:f>'22. Indicatori Circolarità'!$L$4</c:f>
              <c:strCache>
                <c:ptCount val="1"/>
                <c:pt idx="0">
                  <c:v>diff 23-22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Circolarità'!$A$8</c:f>
              <c:strCache>
                <c:ptCount val="1"/>
                <c:pt idx="0">
                  <c:v>Variazione del consumo energetico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Circolarità'!$L$5:$L$9</c15:sqref>
                  </c15:fullRef>
                </c:ext>
              </c:extLst>
              <c:f>'22. Indicatori Circolarità'!$L$8</c:f>
              <c:numCache>
                <c:formatCode>0.0%</c:formatCode>
                <c:ptCount val="1"/>
                <c:pt idx="0">
                  <c:v>7.452342302860715E-2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9B-4D86-9C26-8C010444486F}"/>
            </c:ext>
          </c:extLst>
        </c:ser>
        <c:ser>
          <c:idx val="4"/>
          <c:order val="4"/>
          <c:tx>
            <c:strRef>
              <c:f>'22. Indicatori Circolarità'!$N$4</c:f>
              <c:strCache>
                <c:ptCount val="1"/>
                <c:pt idx="0">
                  <c:v>diff 24-23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Circolarità'!$A$8</c:f>
              <c:strCache>
                <c:ptCount val="1"/>
                <c:pt idx="0">
                  <c:v>Variazione del consumo energetico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Circolarità'!$N$5:$N$9</c15:sqref>
                  </c15:fullRef>
                </c:ext>
              </c:extLst>
              <c:f>'22. Indicatori Circolarità'!$N$8</c:f>
              <c:numCache>
                <c:formatCode>General</c:formatCode>
                <c:ptCount val="1"/>
                <c:pt idx="0" formatCode="0.0%">
                  <c:v>6.0128711370024367E-3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9B-4D86-9C26-8C010444486F}"/>
            </c:ext>
          </c:extLst>
        </c:ser>
        <c:ser>
          <c:idx val="5"/>
          <c:order val="5"/>
          <c:tx>
            <c:strRef>
              <c:f>'22. Indicatori Circolarità'!$P$4</c:f>
              <c:strCache>
                <c:ptCount val="1"/>
                <c:pt idx="0">
                  <c:v>diff 25-24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Circolarità'!$A$8</c:f>
              <c:strCache>
                <c:ptCount val="1"/>
                <c:pt idx="0">
                  <c:v>Variazione del consumo energetico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Circolarità'!$P$5:$P$9</c15:sqref>
                  </c15:fullRef>
                </c:ext>
              </c:extLst>
              <c:f>'22. Indicatori Circolarità'!$P$8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82D-4DDC-9B0C-93567A618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6633072"/>
        <c:axId val="676634032"/>
      </c:barChart>
      <c:catAx>
        <c:axId val="676633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76634032"/>
        <c:crosses val="autoZero"/>
        <c:auto val="1"/>
        <c:lblAlgn val="ctr"/>
        <c:lblOffset val="100"/>
        <c:noMultiLvlLbl val="0"/>
      </c:catAx>
      <c:valAx>
        <c:axId val="67663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663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Variazione del consumo</a:t>
            </a:r>
            <a:r>
              <a:rPr lang="it-IT" baseline="0"/>
              <a:t> idric</a:t>
            </a:r>
            <a:r>
              <a:rPr lang="it-IT"/>
              <a:t>o </a:t>
            </a:r>
          </a:p>
          <a:p>
            <a:pPr>
              <a:defRPr/>
            </a:pPr>
            <a:r>
              <a:rPr lang="it-IT"/>
              <a:t>per unità di prodotto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'22. Indicatori Circolarità'!$F$4</c:f>
              <c:strCache>
                <c:ptCount val="1"/>
                <c:pt idx="0">
                  <c:v>diff 20-19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Circolarità'!$A$7</c:f>
              <c:strCache>
                <c:ptCount val="1"/>
                <c:pt idx="0">
                  <c:v>Variazione del consumo idrico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Circolarità'!$F$5:$F$9</c15:sqref>
                  </c15:fullRef>
                </c:ext>
              </c:extLst>
              <c:f>'22. Indicatori Circolarità'!$F$7</c:f>
              <c:numCache>
                <c:formatCode>0%</c:formatCode>
                <c:ptCount val="1"/>
                <c:pt idx="0">
                  <c:v>0.11661289894397872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B-4D86-9C26-8C010444486F}"/>
            </c:ext>
          </c:extLst>
        </c:ser>
        <c:ser>
          <c:idx val="1"/>
          <c:order val="1"/>
          <c:tx>
            <c:strRef>
              <c:f>'22. Indicatori Circolarità'!$H$4</c:f>
              <c:strCache>
                <c:ptCount val="1"/>
                <c:pt idx="0">
                  <c:v>diff 21-20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Circolarità'!$A$7</c:f>
              <c:strCache>
                <c:ptCount val="1"/>
                <c:pt idx="0">
                  <c:v>Variazione del consumo idrico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Circolarità'!$H$5:$H$9</c15:sqref>
                  </c15:fullRef>
                </c:ext>
              </c:extLst>
              <c:f>'22. Indicatori Circolarità'!$H$7</c:f>
              <c:numCache>
                <c:formatCode>0.0%</c:formatCode>
                <c:ptCount val="1"/>
                <c:pt idx="0">
                  <c:v>-3.2960482661720876E-3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B-4D86-9C26-8C010444486F}"/>
            </c:ext>
          </c:extLst>
        </c:ser>
        <c:ser>
          <c:idx val="2"/>
          <c:order val="2"/>
          <c:tx>
            <c:strRef>
              <c:f>'22. Indicatori Circolarità'!$J$4</c:f>
              <c:strCache>
                <c:ptCount val="1"/>
                <c:pt idx="0">
                  <c:v>diff 22-21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Circolarità'!$A$7</c:f>
              <c:strCache>
                <c:ptCount val="1"/>
                <c:pt idx="0">
                  <c:v>Variazione del consumo idrico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Circolarità'!$J$5:$J$9</c15:sqref>
                  </c15:fullRef>
                </c:ext>
              </c:extLst>
              <c:f>'22. Indicatori Circolarità'!$J$7</c:f>
              <c:numCache>
                <c:formatCode>0.0%</c:formatCode>
                <c:ptCount val="1"/>
                <c:pt idx="0">
                  <c:v>-4.1811313479116652E-2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B-4D86-9C26-8C010444486F}"/>
            </c:ext>
          </c:extLst>
        </c:ser>
        <c:ser>
          <c:idx val="3"/>
          <c:order val="3"/>
          <c:tx>
            <c:strRef>
              <c:f>'22. Indicatori Circolarità'!$L$4</c:f>
              <c:strCache>
                <c:ptCount val="1"/>
                <c:pt idx="0">
                  <c:v>diff 23-22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Circolarità'!$A$7</c:f>
              <c:strCache>
                <c:ptCount val="1"/>
                <c:pt idx="0">
                  <c:v>Variazione del consumo idrico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Circolarità'!$L$5:$L$9</c15:sqref>
                  </c15:fullRef>
                </c:ext>
              </c:extLst>
              <c:f>'22. Indicatori Circolarità'!$L$7</c:f>
              <c:numCache>
                <c:formatCode>0.0%</c:formatCode>
                <c:ptCount val="1"/>
                <c:pt idx="0">
                  <c:v>0.50586490282507446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9B-4D86-9C26-8C010444486F}"/>
            </c:ext>
          </c:extLst>
        </c:ser>
        <c:ser>
          <c:idx val="4"/>
          <c:order val="4"/>
          <c:tx>
            <c:strRef>
              <c:f>'22. Indicatori Circolarità'!$N$4</c:f>
              <c:strCache>
                <c:ptCount val="1"/>
                <c:pt idx="0">
                  <c:v>diff 24-23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Circolarità'!$A$7</c:f>
              <c:strCache>
                <c:ptCount val="1"/>
                <c:pt idx="0">
                  <c:v>Variazione del consumo idrico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Circolarità'!$N$5:$N$9</c15:sqref>
                  </c15:fullRef>
                </c:ext>
              </c:extLst>
              <c:f>'22. Indicatori Circolarità'!$N$7</c:f>
              <c:numCache>
                <c:formatCode>General</c:formatCode>
                <c:ptCount val="1"/>
                <c:pt idx="0" formatCode="0.0%">
                  <c:v>-0.26882221926711281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9B-4D86-9C26-8C010444486F}"/>
            </c:ext>
          </c:extLst>
        </c:ser>
        <c:ser>
          <c:idx val="5"/>
          <c:order val="5"/>
          <c:tx>
            <c:strRef>
              <c:f>'22. Indicatori Circolarità'!$P$4</c:f>
              <c:strCache>
                <c:ptCount val="1"/>
                <c:pt idx="0">
                  <c:v>diff 25-24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Circolarità'!$A$7</c:f>
              <c:strCache>
                <c:ptCount val="1"/>
                <c:pt idx="0">
                  <c:v>Variazione del consumo idrico per unità di prodotto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Circolarità'!$P$5:$P$9</c15:sqref>
                  </c15:fullRef>
                </c:ext>
              </c:extLst>
              <c:f>'22. Indicatori Circolarità'!$P$7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82D-4DDC-9B0C-93567A618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6633072"/>
        <c:axId val="676634032"/>
      </c:barChart>
      <c:catAx>
        <c:axId val="676633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76634032"/>
        <c:crosses val="autoZero"/>
        <c:auto val="1"/>
        <c:lblAlgn val="ctr"/>
        <c:lblOffset val="100"/>
        <c:noMultiLvlLbl val="0"/>
      </c:catAx>
      <c:valAx>
        <c:axId val="67663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663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Variazione dei rifiuti da imballaggi </a:t>
            </a:r>
          </a:p>
          <a:p>
            <a:pPr>
              <a:defRPr/>
            </a:pPr>
            <a:r>
              <a:rPr lang="it-IT"/>
              <a:t>per unità di prodotto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'22. Indicatori Circolarità'!$F$4</c:f>
              <c:strCache>
                <c:ptCount val="1"/>
                <c:pt idx="0">
                  <c:v>diff 20-19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Circolarità'!$A$9</c:f>
              <c:strCache>
                <c:ptCount val="1"/>
                <c:pt idx="0">
                  <c:v>Variazione dei rifiuti da imballaggi per unità di prodotto
(somma 150101 / 150102 / 150106)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Circolarità'!$F$5:$F$9</c15:sqref>
                  </c15:fullRef>
                </c:ext>
              </c:extLst>
              <c:f>'22. Indicatori Circolarità'!$F$9</c:f>
              <c:numCache>
                <c:formatCode>0%</c:formatCode>
                <c:ptCount val="1"/>
                <c:pt idx="0">
                  <c:v>0.36252759576371302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B-4D86-9C26-8C010444486F}"/>
            </c:ext>
          </c:extLst>
        </c:ser>
        <c:ser>
          <c:idx val="1"/>
          <c:order val="1"/>
          <c:tx>
            <c:strRef>
              <c:f>'22. Indicatori Circolarità'!$H$4</c:f>
              <c:strCache>
                <c:ptCount val="1"/>
                <c:pt idx="0">
                  <c:v>diff 21-20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Circolarità'!$A$9</c:f>
              <c:strCache>
                <c:ptCount val="1"/>
                <c:pt idx="0">
                  <c:v>Variazione dei rifiuti da imballaggi per unità di prodotto
(somma 150101 / 150102 / 150106)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Circolarità'!$H$5:$H$9</c15:sqref>
                  </c15:fullRef>
                </c:ext>
              </c:extLst>
              <c:f>'22. Indicatori Circolarità'!$H$9</c:f>
              <c:numCache>
                <c:formatCode>0.0%</c:formatCode>
                <c:ptCount val="1"/>
                <c:pt idx="0">
                  <c:v>-0.12802143097935847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B-4D86-9C26-8C010444486F}"/>
            </c:ext>
          </c:extLst>
        </c:ser>
        <c:ser>
          <c:idx val="2"/>
          <c:order val="2"/>
          <c:tx>
            <c:strRef>
              <c:f>'22. Indicatori Circolarità'!$J$4</c:f>
              <c:strCache>
                <c:ptCount val="1"/>
                <c:pt idx="0">
                  <c:v>diff 22-21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Circolarità'!$A$9</c:f>
              <c:strCache>
                <c:ptCount val="1"/>
                <c:pt idx="0">
                  <c:v>Variazione dei rifiuti da imballaggi per unità di prodotto
(somma 150101 / 150102 / 150106)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Circolarità'!$J$5:$J$9</c15:sqref>
                  </c15:fullRef>
                </c:ext>
              </c:extLst>
              <c:f>'22. Indicatori Circolarità'!$J$9</c:f>
              <c:numCache>
                <c:formatCode>0.0%</c:formatCode>
                <c:ptCount val="1"/>
                <c:pt idx="0">
                  <c:v>4.4381135409844348E-2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B-4D86-9C26-8C010444486F}"/>
            </c:ext>
          </c:extLst>
        </c:ser>
        <c:ser>
          <c:idx val="3"/>
          <c:order val="3"/>
          <c:tx>
            <c:strRef>
              <c:f>'22. Indicatori Circolarità'!$L$4</c:f>
              <c:strCache>
                <c:ptCount val="1"/>
                <c:pt idx="0">
                  <c:v>diff 23-22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Circolarità'!$A$9</c:f>
              <c:strCache>
                <c:ptCount val="1"/>
                <c:pt idx="0">
                  <c:v>Variazione dei rifiuti da imballaggi per unità di prodotto
(somma 150101 / 150102 / 150106)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Circolarità'!$L$5:$L$9</c15:sqref>
                  </c15:fullRef>
                </c:ext>
              </c:extLst>
              <c:f>'22. Indicatori Circolarità'!$L$9</c:f>
              <c:numCache>
                <c:formatCode>0.0%</c:formatCode>
                <c:ptCount val="1"/>
                <c:pt idx="0">
                  <c:v>0.81677603120005493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9B-4D86-9C26-8C010444486F}"/>
            </c:ext>
          </c:extLst>
        </c:ser>
        <c:ser>
          <c:idx val="4"/>
          <c:order val="4"/>
          <c:tx>
            <c:strRef>
              <c:f>'22. Indicatori Circolarità'!$N$4</c:f>
              <c:strCache>
                <c:ptCount val="1"/>
                <c:pt idx="0">
                  <c:v>diff 24-23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Circolarità'!$A$9</c:f>
              <c:strCache>
                <c:ptCount val="1"/>
                <c:pt idx="0">
                  <c:v>Variazione dei rifiuti da imballaggi per unità di prodotto
(somma 150101 / 150102 / 150106)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Circolarità'!$N$5:$N$9</c15:sqref>
                  </c15:fullRef>
                </c:ext>
              </c:extLst>
              <c:f>'22. Indicatori Circolarità'!$N$9</c:f>
              <c:numCache>
                <c:formatCode>General</c:formatCode>
                <c:ptCount val="1"/>
                <c:pt idx="0" formatCode="0.0%">
                  <c:v>-6.7586554424643355E-2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9B-4D86-9C26-8C010444486F}"/>
            </c:ext>
          </c:extLst>
        </c:ser>
        <c:ser>
          <c:idx val="5"/>
          <c:order val="5"/>
          <c:tx>
            <c:strRef>
              <c:f>'22. Indicatori Circolarità'!$P$4</c:f>
              <c:strCache>
                <c:ptCount val="1"/>
                <c:pt idx="0">
                  <c:v>diff 25-24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'22. Indicatori Circolarità'!$A$5:$A$9</c15:sqref>
                  </c15:fullRef>
                </c:ext>
              </c:extLst>
              <c:f>'22. Indicatori Circolarità'!$A$9</c:f>
              <c:strCache>
                <c:ptCount val="1"/>
                <c:pt idx="0">
                  <c:v>Variazione dei rifiuti da imballaggi per unità di prodotto
(somma 150101 / 150102 / 150106)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'22. Indicatori Circolarità'!$P$5:$P$9</c15:sqref>
                  </c15:fullRef>
                </c:ext>
              </c:extLst>
              <c:f>'22. Indicatori Circolarità'!$P$9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82D-4DDC-9B0C-93567A618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6633072"/>
        <c:axId val="676634032"/>
      </c:barChart>
      <c:catAx>
        <c:axId val="676633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76634032"/>
        <c:crosses val="autoZero"/>
        <c:auto val="1"/>
        <c:lblAlgn val="ctr"/>
        <c:lblOffset val="100"/>
        <c:noMultiLvlLbl val="0"/>
      </c:catAx>
      <c:valAx>
        <c:axId val="67663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7663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14</xdr:row>
      <xdr:rowOff>47625</xdr:rowOff>
    </xdr:from>
    <xdr:ext cx="4572000" cy="2876550"/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18</xdr:col>
      <xdr:colOff>447675</xdr:colOff>
      <xdr:row>14</xdr:row>
      <xdr:rowOff>47625</xdr:rowOff>
    </xdr:from>
    <xdr:ext cx="4876800" cy="2876550"/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61913</xdr:colOff>
      <xdr:row>10</xdr:row>
      <xdr:rowOff>157162</xdr:rowOff>
    </xdr:from>
    <xdr:to>
      <xdr:col>6</xdr:col>
      <xdr:colOff>842963</xdr:colOff>
      <xdr:row>25</xdr:row>
      <xdr:rowOff>42862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1B43199-A4B0-FC3E-2ADD-7547164A2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14288</xdr:colOff>
      <xdr:row>10</xdr:row>
      <xdr:rowOff>157162</xdr:rowOff>
    </xdr:from>
    <xdr:to>
      <xdr:col>1</xdr:col>
      <xdr:colOff>1204913</xdr:colOff>
      <xdr:row>25</xdr:row>
      <xdr:rowOff>42862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3290B04-130F-A4FC-0CEE-C1EEE2750C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119063</xdr:colOff>
      <xdr:row>10</xdr:row>
      <xdr:rowOff>157162</xdr:rowOff>
    </xdr:from>
    <xdr:to>
      <xdr:col>12</xdr:col>
      <xdr:colOff>452438</xdr:colOff>
      <xdr:row>25</xdr:row>
      <xdr:rowOff>42862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471F03-BC07-BBAE-8A3C-0F7BBDEC83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mberto Testa" refreshedDate="45762.455060995373" createdVersion="8" refreshedVersion="8" minRefreshableVersion="3" recordCount="23" xr:uid="{E527D8C1-36D1-4A26-B981-A7D7C8D473D0}">
  <cacheSource type="worksheet">
    <worksheetSource name="Tabella_15_Rifiuti"/>
  </cacheSource>
  <cacheFields count="13">
    <cacheField name="Denominazione" numFmtId="0">
      <sharedItems/>
    </cacheField>
    <cacheField name="EER" numFmtId="49">
      <sharedItems containsMixedTypes="1" containsNumber="1" containsInteger="1" minValue="130205" maxValue="200304" count="42">
        <s v="040220"/>
        <s v="080111*"/>
        <s v="080318"/>
        <s v="130205*"/>
        <s v="150101"/>
        <s v="150102"/>
        <s v="150104"/>
        <s v="150106"/>
        <s v="150110*"/>
        <s v="150111*"/>
        <s v="160104*"/>
        <s v="160213*"/>
        <s v="160214"/>
        <s v="160305*"/>
        <s v="160505"/>
        <s v="160605"/>
        <s v="170202"/>
        <s v="170405"/>
        <s v="170411"/>
        <s v="170603*"/>
        <s v="200121*"/>
        <s v="200201"/>
        <s v="200304"/>
        <n v="160104" u="1"/>
        <n v="160213" u="1"/>
        <n v="160214" u="1"/>
        <n v="160305" u="1"/>
        <n v="160505" u="1"/>
        <n v="160605" u="1"/>
        <n v="170202" u="1"/>
        <n v="170405" u="1"/>
        <n v="170411" u="1"/>
        <n v="170603" u="1"/>
        <n v="200121" u="1"/>
        <n v="200201" u="1"/>
        <n v="200304" u="1"/>
        <n v="130205" u="1"/>
        <n v="150101" u="1"/>
        <n v="150102" u="1"/>
        <n v="150104" u="1"/>
        <n v="150110" u="1"/>
        <n v="150111" u="1"/>
      </sharedItems>
    </cacheField>
    <cacheField name="Smaltimento (D) / Recupero (R)" numFmtId="0">
      <sharedItems count="5">
        <s v="D8, D9, D15"/>
        <s v="D15"/>
        <s v="R13"/>
        <s v="R4"/>
        <s v="D8, D9"/>
      </sharedItems>
    </cacheField>
    <cacheField name="P / NP" numFmtId="0">
      <sharedItems count="2">
        <s v="NP"/>
        <s v="P"/>
      </sharedItems>
    </cacheField>
    <cacheField name="Quantità prodotta_x000a_[kg]_x000a_2017" numFmtId="0">
      <sharedItems containsString="0" containsBlank="1" containsNumber="1" containsInteger="1" minValue="4190" maxValue="55390"/>
    </cacheField>
    <cacheField name="Quantità prodotta_x000a_[kg]_x000a_2018" numFmtId="0">
      <sharedItems containsString="0" containsBlank="1" containsNumber="1" containsInteger="1" minValue="8890" maxValue="59360"/>
    </cacheField>
    <cacheField name="Quantità prodotta_x000a_[kg]_x000a_2019" numFmtId="0">
      <sharedItems containsString="0" containsBlank="1" containsNumber="1" containsInteger="1" minValue="28" maxValue="44600"/>
    </cacheField>
    <cacheField name="Quantità prodotta_x000a_[kg]_x000a_2020" numFmtId="0">
      <sharedItems containsString="0" containsBlank="1" containsNumber="1" containsInteger="1" minValue="24" maxValue="34560"/>
    </cacheField>
    <cacheField name="Quantità prodotta_x000a_[kg]_x000a_2021" numFmtId="0">
      <sharedItems containsString="0" containsBlank="1" containsNumber="1" containsInteger="1" minValue="520" maxValue="42810"/>
    </cacheField>
    <cacheField name="Quantità prodotta_x000a_[kg]_x000a_2022" numFmtId="0">
      <sharedItems containsString="0" containsBlank="1" containsNumber="1" containsInteger="1" minValue="3340" maxValue="47810"/>
    </cacheField>
    <cacheField name="Quantità prodotta_x000a_[kg]_x000a_2023" numFmtId="0">
      <sharedItems containsString="0" containsBlank="1" containsNumber="1" containsInteger="1" minValue="15" maxValue="60480"/>
    </cacheField>
    <cacheField name="Quantità prodotta_x000a_[kg]_x000a_2024" numFmtId="3">
      <sharedItems containsString="0" containsBlank="1" containsNumber="1" containsInteger="1" minValue="10" maxValue="224860"/>
    </cacheField>
    <cacheField name="Quantità prodotta_x000a_[kg]_x000a_2025" numFmtId="3">
      <sharedItems containsSemiMixedTypes="0" containsString="0" containsNumber="1" containsInteger="1" minValue="0" maxValue="133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s v="Fanghi prodotti dal trattamento in loco degli effluenti diversi da quelli di cui alla voce 040219"/>
    <x v="0"/>
    <x v="0"/>
    <x v="0"/>
    <m/>
    <m/>
    <m/>
    <m/>
    <m/>
    <m/>
    <m/>
    <n v="224860"/>
    <n v="0"/>
  </r>
  <r>
    <s v="Pitture e vernici di scarto, contenenti solventi organici o altre sostanze pericolose"/>
    <x v="1"/>
    <x v="1"/>
    <x v="1"/>
    <m/>
    <m/>
    <m/>
    <m/>
    <n v="610"/>
    <m/>
    <n v="40"/>
    <n v="150"/>
    <n v="10"/>
  </r>
  <r>
    <s v="Toner per stampa esauriti, diversi da quelli di cui alla voce 08 03 17"/>
    <x v="2"/>
    <x v="2"/>
    <x v="0"/>
    <m/>
    <m/>
    <n v="28"/>
    <n v="24"/>
    <m/>
    <m/>
    <n v="45"/>
    <m/>
    <n v="0"/>
  </r>
  <r>
    <s v="Scarti di olio minerale per motori, ingranaggi e lubrificazione, non clorurati"/>
    <x v="3"/>
    <x v="2"/>
    <x v="1"/>
    <m/>
    <m/>
    <m/>
    <m/>
    <m/>
    <m/>
    <n v="1000"/>
    <m/>
    <n v="0"/>
  </r>
  <r>
    <s v="Imballaggi di carta e cartone"/>
    <x v="4"/>
    <x v="2"/>
    <x v="0"/>
    <n v="55390"/>
    <n v="59360"/>
    <n v="44600"/>
    <n v="30360"/>
    <n v="31900"/>
    <n v="44820"/>
    <n v="56360"/>
    <n v="54720"/>
    <n v="11950"/>
  </r>
  <r>
    <s v="Imballaggi di plastica"/>
    <x v="5"/>
    <x v="2"/>
    <x v="0"/>
    <n v="26160"/>
    <n v="24164"/>
    <n v="23760"/>
    <n v="22760"/>
    <n v="18730"/>
    <n v="16240"/>
    <n v="32650"/>
    <n v="13690"/>
    <n v="13390"/>
  </r>
  <r>
    <s v="Imballaggi in metallo"/>
    <x v="6"/>
    <x v="3"/>
    <x v="0"/>
    <m/>
    <m/>
    <m/>
    <m/>
    <m/>
    <m/>
    <m/>
    <m/>
    <n v="3400"/>
  </r>
  <r>
    <s v="Imballaggi in materiali misti"/>
    <x v="7"/>
    <x v="2"/>
    <x v="0"/>
    <n v="18940"/>
    <n v="27060"/>
    <n v="24440"/>
    <n v="34560"/>
    <n v="42810"/>
    <n v="47810"/>
    <n v="60480"/>
    <n v="57270"/>
    <n v="8150"/>
  </r>
  <r>
    <s v="Imballaggi contenenti residui di sostanza pericolose o contaminati da tali sostanze"/>
    <x v="8"/>
    <x v="2"/>
    <x v="1"/>
    <m/>
    <m/>
    <m/>
    <n v="1500"/>
    <n v="520"/>
    <m/>
    <n v="45"/>
    <n v="1050"/>
    <n v="0"/>
  </r>
  <r>
    <s v="Imballaggi contenenti residui di sostanza pericolose o contaminati da tali sostanze"/>
    <x v="9"/>
    <x v="1"/>
    <x v="1"/>
    <m/>
    <m/>
    <m/>
    <m/>
    <m/>
    <m/>
    <m/>
    <m/>
    <n v="5"/>
  </r>
  <r>
    <s v="Veicoli inutilizzabili"/>
    <x v="10"/>
    <x v="3"/>
    <x v="1"/>
    <m/>
    <m/>
    <m/>
    <m/>
    <m/>
    <m/>
    <m/>
    <n v="800"/>
    <n v="0"/>
  </r>
  <r>
    <s v="Apparecchiature fuori uso, contenenti componenti pericolose diversi da quelli di cui alle voci da 160209 a 160212"/>
    <x v="11"/>
    <x v="2"/>
    <x v="1"/>
    <m/>
    <m/>
    <m/>
    <n v="249"/>
    <m/>
    <m/>
    <n v="130"/>
    <m/>
    <n v="20"/>
  </r>
  <r>
    <s v="Apparecchiature fuori uso, diverse da quelle di cui alle voci de 160209 a 160213"/>
    <x v="12"/>
    <x v="2"/>
    <x v="0"/>
    <m/>
    <m/>
    <m/>
    <n v="281"/>
    <m/>
    <m/>
    <n v="9600"/>
    <n v="6680"/>
    <n v="180"/>
  </r>
  <r>
    <s v="Rifiuti organici, contenenti sostanze pericolose"/>
    <x v="13"/>
    <x v="2"/>
    <x v="1"/>
    <m/>
    <m/>
    <m/>
    <m/>
    <n v="3310"/>
    <m/>
    <m/>
    <n v="3556"/>
    <n v="0"/>
  </r>
  <r>
    <s v="Gas in contenitori a pressione"/>
    <x v="14"/>
    <x v="2"/>
    <x v="0"/>
    <m/>
    <m/>
    <m/>
    <m/>
    <m/>
    <m/>
    <m/>
    <m/>
    <n v="940"/>
  </r>
  <r>
    <s v="Altre batterie e accumulatori"/>
    <x v="15"/>
    <x v="2"/>
    <x v="0"/>
    <m/>
    <m/>
    <m/>
    <m/>
    <m/>
    <m/>
    <m/>
    <m/>
    <n v="10"/>
  </r>
  <r>
    <s v="Vetro"/>
    <x v="16"/>
    <x v="2"/>
    <x v="0"/>
    <m/>
    <m/>
    <m/>
    <m/>
    <m/>
    <m/>
    <m/>
    <n v="500"/>
    <n v="0"/>
  </r>
  <r>
    <s v="Ferro e acciaio"/>
    <x v="17"/>
    <x v="2"/>
    <x v="0"/>
    <n v="4190"/>
    <n v="8890"/>
    <n v="7640"/>
    <n v="2910"/>
    <n v="7390"/>
    <n v="3340"/>
    <n v="9700"/>
    <n v="12920"/>
    <n v="0"/>
  </r>
  <r>
    <s v="Cavi"/>
    <x v="18"/>
    <x v="2"/>
    <x v="0"/>
    <m/>
    <m/>
    <m/>
    <m/>
    <m/>
    <m/>
    <m/>
    <n v="380"/>
    <n v="840"/>
  </r>
  <r>
    <s v="Altri materiali isolanti contenenti o costituiti da sostanze pericolose"/>
    <x v="19"/>
    <x v="1"/>
    <x v="1"/>
    <m/>
    <m/>
    <m/>
    <m/>
    <m/>
    <m/>
    <n v="180"/>
    <n v="245"/>
    <n v="35"/>
  </r>
  <r>
    <s v="Tubi fluorescenti ed altri rifiuti contenenti mercurio"/>
    <x v="20"/>
    <x v="1"/>
    <x v="1"/>
    <m/>
    <m/>
    <m/>
    <n v="281"/>
    <m/>
    <m/>
    <n v="15"/>
    <n v="10"/>
    <n v="9"/>
  </r>
  <r>
    <s v="Rifiuti biodegradabili"/>
    <x v="21"/>
    <x v="2"/>
    <x v="0"/>
    <m/>
    <m/>
    <m/>
    <m/>
    <m/>
    <n v="4180"/>
    <n v="2500"/>
    <n v="7120"/>
    <n v="0"/>
  </r>
  <r>
    <s v="Fanghi delle fosse settiche"/>
    <x v="22"/>
    <x v="4"/>
    <x v="0"/>
    <m/>
    <m/>
    <m/>
    <m/>
    <n v="8000"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7AFB7D-7431-46BE-81EB-906CD617EA4E}" name="Tabella pivot3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rowHeaderCaption="Anno">
  <location ref="A7:J13" firstHeaderRow="0" firstDataRow="1" firstDataCol="1"/>
  <pivotFields count="13">
    <pivotField showAll="0"/>
    <pivotField showAll="0"/>
    <pivotField axis="axisRow" showAll="0" sortType="ascending">
      <items count="6">
        <item x="1"/>
        <item x="4"/>
        <item x="0"/>
        <item x="2"/>
        <item x="3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3" showAll="0"/>
    <pivotField dataField="1"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2017" fld="4" baseField="0" baseItem="0"/>
    <dataField name="2018" fld="5" baseField="0" baseItem="0"/>
    <dataField name="2019" fld="6" baseField="0" baseItem="0"/>
    <dataField name="2020" fld="7" baseField="0" baseItem="0"/>
    <dataField name="2021" fld="8" baseField="0" baseItem="0"/>
    <dataField name="2022" fld="9" baseField="2" baseItem="0"/>
    <dataField name="2023" fld="10" baseField="0" baseItem="0"/>
    <dataField name="2024" fld="11" baseField="0" baseItem="0" numFmtId="3"/>
    <dataField name="2025" fld="12" baseField="2" baseItem="0"/>
  </dataFields>
  <formats count="13">
    <format dxfId="74">
      <pivotArea outline="0" collapsedLevelsAreSubtotals="1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2" type="button" dataOnly="0" labelOnly="1" outline="0" axis="axisRow" fieldPosition="0"/>
    </format>
    <format dxfId="70">
      <pivotArea dataOnly="0" labelOnly="1" fieldPosition="0">
        <references count="1">
          <reference field="2" count="0"/>
        </references>
      </pivotArea>
    </format>
    <format dxfId="69">
      <pivotArea dataOnly="0" labelOnly="1" grandRow="1" outline="0" fieldPosition="0"/>
    </format>
    <format dxfId="68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2" type="button" dataOnly="0" labelOnly="1" outline="0" axis="axisRow" fieldPosition="0"/>
    </format>
    <format dxfId="64">
      <pivotArea dataOnly="0" labelOnly="1" fieldPosition="0">
        <references count="1">
          <reference field="2" count="0"/>
        </references>
      </pivotArea>
    </format>
    <format dxfId="63">
      <pivotArea dataOnly="0" labelOnly="1" grandRow="1" outline="0" fieldPosition="0"/>
    </format>
    <format dxfId="62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80FF4B-C9FF-45EE-9FEE-AF72D5246E06}" name="Tabella pivot2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rowHeaderCaption="Anno">
  <location ref="A1:J4" firstHeaderRow="0" firstDataRow="1" firstDataCol="1"/>
  <pivotFields count="13"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3" showAll="0"/>
    <pivotField dataField="1" showAll="0"/>
  </pivotFields>
  <rowFields count="1">
    <field x="3"/>
  </rowFields>
  <rowItems count="3">
    <i>
      <x/>
    </i>
    <i>
      <x v="1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2017" fld="4" baseField="0" baseItem="0"/>
    <dataField name="2018" fld="5" baseField="0" baseItem="0"/>
    <dataField name="2019" fld="6" baseField="0" baseItem="0"/>
    <dataField name="2020" fld="7" baseField="0" baseItem="0"/>
    <dataField name="2021" fld="8" baseField="0" baseItem="0"/>
    <dataField name="2022" fld="9" baseField="0" baseItem="0"/>
    <dataField name="2023" fld="10" baseField="0" baseItem="0"/>
    <dataField name="2024" fld="11" baseField="3" baseItem="1" numFmtId="3"/>
    <dataField name="2025" fld="12" baseField="3" baseItem="0"/>
  </dataFields>
  <formats count="13">
    <format dxfId="87">
      <pivotArea outline="0" collapsedLevelsAreSubtotals="1" fieldPosition="0"/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3" type="button" dataOnly="0" labelOnly="1" outline="0" axis="axisRow" fieldPosition="0"/>
    </format>
    <format dxfId="83">
      <pivotArea dataOnly="0" labelOnly="1" fieldPosition="0">
        <references count="1">
          <reference field="3" count="0"/>
        </references>
      </pivotArea>
    </format>
    <format dxfId="82">
      <pivotArea dataOnly="0" labelOnly="1" grandRow="1" outline="0" fieldPosition="0"/>
    </format>
    <format dxfId="81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field="3" type="button" dataOnly="0" labelOnly="1" outline="0" axis="axisRow" fieldPosition="0"/>
    </format>
    <format dxfId="77">
      <pivotArea dataOnly="0" labelOnly="1" fieldPosition="0">
        <references count="1">
          <reference field="3" count="0"/>
        </references>
      </pivotArea>
    </format>
    <format dxfId="76">
      <pivotArea dataOnly="0" labelOnly="1" grandRow="1" outline="0" fieldPosition="0"/>
    </format>
    <format dxfId="75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D3039A-F29C-4CF6-8DCF-468B3BDA83FB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rowHeaderCaption="Anno">
  <location ref="A16:J21" firstHeaderRow="0" firstDataRow="1" firstDataCol="1"/>
  <pivotFields count="13">
    <pivotField showAll="0"/>
    <pivotField axis="axisRow" showAll="0">
      <items count="43">
        <item h="1" m="1" x="36"/>
        <item h="1" m="1" x="37"/>
        <item h="1" m="1" x="38"/>
        <item h="1" m="1" x="39"/>
        <item h="1" m="1" x="40"/>
        <item h="1" m="1" x="41"/>
        <item h="1" m="1" x="23"/>
        <item h="1" m="1" x="24"/>
        <item h="1" m="1" x="25"/>
        <item h="1" m="1" x="26"/>
        <item h="1" m="1" x="27"/>
        <item h="1" m="1" x="28"/>
        <item h="1" m="1" x="29"/>
        <item h="1" m="1" x="30"/>
        <item h="1" m="1" x="31"/>
        <item h="1" m="1" x="32"/>
        <item h="1" m="1" x="33"/>
        <item h="1" m="1" x="34"/>
        <item h="1" m="1" x="35"/>
        <item h="1" x="0"/>
        <item h="1" x="2"/>
        <item x="4"/>
        <item x="5"/>
        <item x="6"/>
        <item x="7"/>
        <item h="1" x="12"/>
        <item h="1" x="14"/>
        <item h="1" x="15"/>
        <item h="1" x="16"/>
        <item h="1" x="17"/>
        <item h="1" x="18"/>
        <item h="1" x="21"/>
        <item h="1" x="22"/>
        <item h="1" x="1"/>
        <item h="1" x="3"/>
        <item h="1" x="8"/>
        <item h="1" x="9"/>
        <item h="1" x="10"/>
        <item h="1" x="11"/>
        <item h="1" x="13"/>
        <item h="1" x="19"/>
        <item h="1" x="20"/>
        <item t="default"/>
      </items>
    </pivotField>
    <pivotField showAll="0" sortType="ascending">
      <items count="6">
        <item x="1"/>
        <item x="4"/>
        <item x="0"/>
        <item x="2"/>
        <item x="3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3" showAll="0"/>
    <pivotField dataField="1" showAll="0"/>
  </pivotFields>
  <rowFields count="1">
    <field x="1"/>
  </rowFields>
  <rowItems count="5">
    <i>
      <x v="21"/>
    </i>
    <i>
      <x v="22"/>
    </i>
    <i>
      <x v="23"/>
    </i>
    <i>
      <x v="24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2017" fld="4" baseField="0" baseItem="0"/>
    <dataField name="2018" fld="5" baseField="0" baseItem="0"/>
    <dataField name="2019" fld="6" baseField="0" baseItem="0"/>
    <dataField name="2020" fld="7" baseField="0" baseItem="0"/>
    <dataField name="2021" fld="8" baseField="0" baseItem="0"/>
    <dataField name="2022" fld="9" baseField="2" baseItem="0"/>
    <dataField name="2023" fld="10" baseField="0" baseItem="0"/>
    <dataField name="2024" fld="11" baseField="0" baseItem="0" numFmtId="3"/>
    <dataField name="2025" fld="12" baseField="2" baseItem="0"/>
  </dataFields>
  <formats count="11">
    <format dxfId="98">
      <pivotArea outline="0" collapsedLevelsAreSubtotals="1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2" type="button" dataOnly="0" labelOnly="1" outline="0"/>
    </format>
    <format dxfId="94">
      <pivotArea dataOnly="0" labelOnly="1" grandRow="1" outline="0" fieldPosition="0"/>
    </format>
    <format dxfId="93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2" type="button" dataOnly="0" labelOnly="1" outline="0"/>
    </format>
    <format dxfId="89">
      <pivotArea dataOnly="0" labelOnly="1" grandRow="1" outline="0" fieldPosition="0"/>
    </format>
    <format dxfId="88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_1.1_MateriaPrima" displayName="Tabella_1.1_MateriaPrima" ref="A4:E24" headerRowDxfId="160" dataDxfId="159" totalsRowDxfId="158">
  <tableColumns count="5">
    <tableColumn id="1" xr3:uid="{00000000-0010-0000-0000-000001000000}" name="Anno" dataDxfId="157"/>
    <tableColumn id="2" xr3:uid="{00000000-0010-0000-0000-000002000000}" name="Materie Prime - TOPS_x000a_[t/anno]" dataDxfId="156"/>
    <tableColumn id="3" xr3:uid="{00000000-0010-0000-0000-000003000000}" name="Var. rispetto anno precedente _x000a_[%]" dataDxfId="155"/>
    <tableColumn id="4" xr3:uid="{00000000-0010-0000-0000-000004000000}" name="Materie Prime - filato_x000a_[t/anno]" dataDxfId="154"/>
    <tableColumn id="5" xr3:uid="{00000000-0010-0000-0000-000005000000}" name="Var. rispetto anno precedente _x000a_[%]2" dataDxfId="153"/>
  </tableColumns>
  <tableStyleInfo name="TableStyleMedium3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la_6.2_Att.Ripartizione" displayName="Tabella_6.2_Att.Ripartizione" ref="J4:R24" headerRowDxfId="149">
  <tableColumns count="9">
    <tableColumn id="1" xr3:uid="{00000000-0010-0000-0900-000001000000}" name="Anno"/>
    <tableColumn id="2" xr3:uid="{00000000-0010-0000-0900-000002000000}" name="Tratt. Irr._x000a_%"/>
    <tableColumn id="3" xr3:uid="{00000000-0010-0000-0900-000003000000}" name="Tratt. Irr._x000a_[m3]"/>
    <tableColumn id="4" xr3:uid="{00000000-0010-0000-0900-000004000000}" name="Tintoria_x000a_%"/>
    <tableColumn id="5" xr3:uid="{00000000-0010-0000-0900-000005000000}" name="Tintoria_x000a_[m3]"/>
    <tableColumn id="6" xr3:uid="{00000000-0010-0000-0900-000006000000}" name="Roccatura_x000a_%"/>
    <tableColumn id="7" xr3:uid="{00000000-0010-0000-0900-000007000000}" name="Roccatura_x000a_[m3]"/>
    <tableColumn id="8" xr3:uid="{00000000-0010-0000-0900-000008000000}" name="Altro_x000a_%"/>
    <tableColumn id="9" xr3:uid="{00000000-0010-0000-0900-000009000000}" name="Altro_x000a_[m3]"/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la_Pozzo1" displayName="Tabella_Pozzo1" ref="A4:E17">
  <tableColumns count="5">
    <tableColumn id="1" xr3:uid="{00000000-0010-0000-0B00-000001000000}" name="Mesi"/>
    <tableColumn id="2" xr3:uid="{00000000-0010-0000-0B00-000002000000}" name="UdM"/>
    <tableColumn id="3" xr3:uid="{00000000-0010-0000-0B00-000003000000}" name="2023"/>
    <tableColumn id="4" xr3:uid="{00000000-0010-0000-0B00-000004000000}" name="2024"/>
    <tableColumn id="5" xr3:uid="{00000000-0010-0000-0B00-000005000000}" name="2025"/>
  </tableColumns>
  <tableStyleInfo name="TableStyleMedium2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la_Pozzo2" displayName="Tabella_Pozzo2" ref="A21:E34">
  <tableColumns count="5">
    <tableColumn id="1" xr3:uid="{00000000-0010-0000-0C00-000001000000}" name="Mesi"/>
    <tableColumn id="2" xr3:uid="{00000000-0010-0000-0C00-000002000000}" name="UdM"/>
    <tableColumn id="3" xr3:uid="{00000000-0010-0000-0C00-000003000000}" name="2023"/>
    <tableColumn id="4" xr3:uid="{00000000-0010-0000-0C00-000004000000}" name="2024"/>
    <tableColumn id="5" xr3:uid="{00000000-0010-0000-0C00-000005000000}" name="2025"/>
  </tableColumns>
  <tableStyleInfo name="TableStyleMedium3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la_Pozzo3" displayName="Tabella_Pozzo3" ref="A38:E51">
  <tableColumns count="5">
    <tableColumn id="1" xr3:uid="{00000000-0010-0000-0D00-000001000000}" name="Mesi"/>
    <tableColumn id="2" xr3:uid="{00000000-0010-0000-0D00-000002000000}" name="UdM"/>
    <tableColumn id="3" xr3:uid="{00000000-0010-0000-0D00-000003000000}" name="2023"/>
    <tableColumn id="4" xr3:uid="{00000000-0010-0000-0D00-000004000000}" name="2024"/>
    <tableColumn id="5" xr3:uid="{00000000-0010-0000-0D00-000005000000}" name="2025"/>
  </tableColumns>
  <tableStyleInfo name="TableStyleMedium7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la_Acquedotto" displayName="Tabella_Acquedotto" ref="A55:E68">
  <tableColumns count="5">
    <tableColumn id="1" xr3:uid="{00000000-0010-0000-0E00-000001000000}" name="Mesi"/>
    <tableColumn id="2" xr3:uid="{00000000-0010-0000-0E00-000002000000}" name="UdM"/>
    <tableColumn id="3" xr3:uid="{00000000-0010-0000-0E00-000003000000}" name="2023"/>
    <tableColumn id="4" xr3:uid="{00000000-0010-0000-0E00-000004000000}" name="2024"/>
    <tableColumn id="5" xr3:uid="{00000000-0010-0000-0E00-000005000000}" name="2025"/>
  </tableColumns>
  <tableStyleInfo name="TableStyleMedium5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ella_RisorseIdriche" displayName="Tabella_RisorseIdriche" ref="A72:E85">
  <tableColumns count="5">
    <tableColumn id="1" xr3:uid="{00000000-0010-0000-0F00-000001000000}" name="Mesi"/>
    <tableColumn id="2" xr3:uid="{00000000-0010-0000-0F00-000002000000}" name="UdM"/>
    <tableColumn id="3" xr3:uid="{00000000-0010-0000-0F00-000003000000}" name="2023"/>
    <tableColumn id="4" xr3:uid="{00000000-0010-0000-0F00-000004000000}" name="2024"/>
    <tableColumn id="5" xr3:uid="{00000000-0010-0000-0F00-000005000000}" name="2025"/>
  </tableColumns>
  <tableStyleInfo name="TableStyleMedium4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ella_RisorseIdricheLetture" displayName="Tabella_RisorseIdricheLetture" ref="A4:F101">
  <tableColumns count="6">
    <tableColumn id="1" xr3:uid="{00000000-0010-0000-1000-000001000000}" name="Data"/>
    <tableColumn id="2" xr3:uid="{00000000-0010-0000-1000-000002000000}" name="Unità di Misura"/>
    <tableColumn id="6" xr3:uid="{00000000-0010-0000-1000-000006000000}" name="Pozzo n°1"/>
    <tableColumn id="7" xr3:uid="{00000000-0010-0000-1000-000007000000}" name="Pozzo n°2"/>
    <tableColumn id="8" xr3:uid="{00000000-0010-0000-1000-000008000000}" name="Pozzo n°3"/>
    <tableColumn id="9" xr3:uid="{00000000-0010-0000-1000-000009000000}" name="Acquedotto"/>
  </tableColumns>
  <tableStyleInfo name="TableStyleMedium7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ella_7a.1_En.Elettrica" displayName="Tabella_7a.1_En.Elettrica" ref="A4:E24">
  <tableColumns count="5">
    <tableColumn id="1" xr3:uid="{00000000-0010-0000-1500-000001000000}" name="Anno"/>
    <tableColumn id="2" xr3:uid="{00000000-0010-0000-1500-000002000000}" name="Consumo energia elettrica di rete_x000a_[MWh]"/>
    <tableColumn id="3" xr3:uid="{00000000-0010-0000-1500-000003000000}" name="Consumo  energia elettrica da fotovoltaico_x000a_[MWh]"/>
    <tableColumn id="4" xr3:uid="{00000000-0010-0000-1500-000004000000}" name="Totale_x000a_[MWh]"/>
    <tableColumn id="5" xr3:uid="{00000000-0010-0000-1500-000005000000}" name="Var. rispetto anno precedente _x000a_[%]"/>
  </tableColumns>
  <tableStyleInfo name="TableStyleMedium3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ella_7a.2_En.ElettricaRipartizione" displayName="Tabella_7a.2_En.ElettricaRipartizione" ref="G4:O24">
  <tableColumns count="9">
    <tableColumn id="1" xr3:uid="{00000000-0010-0000-1600-000001000000}" name="Anno"/>
    <tableColumn id="2" xr3:uid="{00000000-0010-0000-1600-000002000000}" name="Tratt. Irr._x000a_%"/>
    <tableColumn id="3" xr3:uid="{00000000-0010-0000-1600-000003000000}" name="Tratt. Irr._x000a_[MWh]"/>
    <tableColumn id="4" xr3:uid="{00000000-0010-0000-1600-000004000000}" name="Tintoria_x000a_%"/>
    <tableColumn id="5" xr3:uid="{00000000-0010-0000-1600-000005000000}" name="Tintoria_x000a_[MWh]"/>
    <tableColumn id="6" xr3:uid="{00000000-0010-0000-1600-000006000000}" name="Roccatura_x000a_%"/>
    <tableColumn id="7" xr3:uid="{00000000-0010-0000-1600-000007000000}" name="Roccatura_x000a_[MWh]"/>
    <tableColumn id="8" xr3:uid="{00000000-0010-0000-1600-000008000000}" name="Altro_x000a_%"/>
    <tableColumn id="9" xr3:uid="{00000000-0010-0000-1600-000009000000}" name="Altro_x000a_[MWh]"/>
  </tableColumns>
  <tableStyleInfo name="TableStyleMedium6" showFirstColumn="1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ella_7b.1_En.Termica" displayName="Tabella_7b.1_En.Termica" ref="A27:E47">
  <tableColumns count="5">
    <tableColumn id="1" xr3:uid="{00000000-0010-0000-1700-000001000000}" name="Anno"/>
    <tableColumn id="2" xr3:uid="{00000000-0010-0000-1700-000002000000}" name="Energia termica prodotta per autoconsumo_x000a_[MWh]"/>
    <tableColumn id="3" xr3:uid="{00000000-0010-0000-1700-000003000000}" name="Colonna vuota"/>
    <tableColumn id="4" xr3:uid="{00000000-0010-0000-1700-000004000000}" name="Totale_x000a_[MWh]"/>
    <tableColumn id="5" xr3:uid="{00000000-0010-0000-1700-000005000000}" name="Var. rispetto anno precedente _x000a_[%]"/>
  </tableColumns>
  <tableStyleInfo name="TableStyleMedium5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_1.2_ProdottiChimici" displayName="Tabella_1.2_ProdottiChimici" ref="G4:M24" headerRowDxfId="152">
  <tableColumns count="7">
    <tableColumn id="1" xr3:uid="{00000000-0010-0000-0100-000001000000}" name="Anno"/>
    <tableColumn id="2" xr3:uid="{00000000-0010-0000-0100-000002000000}" name="Coloranti_x000a_[t/anno]"/>
    <tableColumn id="3" xr3:uid="{00000000-0010-0000-0100-000003000000}" name="Prodotti Ausiliari_x000a_[t/anno]"/>
    <tableColumn id="4" xr3:uid="{00000000-0010-0000-0100-000004000000}" name="Chimica di base_x000a_[t/anno]"/>
    <tableColumn id="5" xr3:uid="{00000000-0010-0000-0100-000005000000}" name="Ausiliari + Chimica di Base [t/anno]"/>
    <tableColumn id="6" xr3:uid="{00000000-0010-0000-0100-000006000000}" name="Totale_x000a_[t/anno]"/>
    <tableColumn id="7" xr3:uid="{00000000-0010-0000-0100-000007000000}" name="Var. rispetto anno precedente _x000a_[%]"/>
  </tableColumns>
  <tableStyleInfo name="TableStyleMedium2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ella_7b.2_En.TermicaRipartizione" displayName="Tabella_7b.2_En.TermicaRipartizione" ref="G27:O47">
  <tableColumns count="9">
    <tableColumn id="1" xr3:uid="{00000000-0010-0000-1800-000001000000}" name="Anno"/>
    <tableColumn id="2" xr3:uid="{00000000-0010-0000-1800-000002000000}" name="Tratt. Irr._x000a_%"/>
    <tableColumn id="3" xr3:uid="{00000000-0010-0000-1800-000003000000}" name="Tratt. Irr._x000a_[MWh]"/>
    <tableColumn id="4" xr3:uid="{00000000-0010-0000-1800-000004000000}" name="Tintoria_x000a_%"/>
    <tableColumn id="5" xr3:uid="{00000000-0010-0000-1800-000005000000}" name="Tintoria_x000a_[MWh]"/>
    <tableColumn id="6" xr3:uid="{00000000-0010-0000-1800-000006000000}" name="Roccatura_x000a_%"/>
    <tableColumn id="7" xr3:uid="{00000000-0010-0000-1800-000007000000}" name="Roccatura_x000a_[MWh]"/>
    <tableColumn id="8" xr3:uid="{00000000-0010-0000-1800-000008000000}" name="Altro_x000a_%"/>
    <tableColumn id="9" xr3:uid="{00000000-0010-0000-1800-000009000000}" name="Altro_x000a_[MWh]"/>
  </tableColumns>
  <tableStyleInfo name="TableStyleMedium7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ella_7c.1_Energia" displayName="Tabella_7c.1_Energia" ref="A50:E70">
  <tableColumns count="5">
    <tableColumn id="1" xr3:uid="{00000000-0010-0000-1900-000001000000}" name="Anno"/>
    <tableColumn id="2" xr3:uid="{00000000-0010-0000-1900-000002000000}" name="Energia totale_x000a_[MWh]"/>
    <tableColumn id="3" xr3:uid="{00000000-0010-0000-1900-000003000000}" name="Colonna vuota"/>
    <tableColumn id="4" xr3:uid="{00000000-0010-0000-1900-000004000000}" name="Totale_x000a_[MWh]"/>
    <tableColumn id="5" xr3:uid="{00000000-0010-0000-1900-000005000000}" name="Var. rispetto anno precedente _x000a_[%]"/>
  </tableColumns>
  <tableStyleInfo name="TableStyleMedium2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ella_7c.2_EnergiaRipartizione" displayName="Tabella_7c.2_EnergiaRipartizione" ref="G50:O70">
  <tableColumns count="9">
    <tableColumn id="1" xr3:uid="{00000000-0010-0000-1A00-000001000000}" name="Anno"/>
    <tableColumn id="2" xr3:uid="{00000000-0010-0000-1A00-000002000000}" name="Tratt. Irr._x000a_%"/>
    <tableColumn id="3" xr3:uid="{00000000-0010-0000-1A00-000003000000}" name="Tratt. Irr._x000a_[MWh]"/>
    <tableColumn id="4" xr3:uid="{00000000-0010-0000-1A00-000004000000}" name="Tintoria_x000a_%"/>
    <tableColumn id="5" xr3:uid="{00000000-0010-0000-1A00-000005000000}" name="Tintoria_x000a_[MWh]"/>
    <tableColumn id="6" xr3:uid="{00000000-0010-0000-1A00-000006000000}" name="Roccatura_x000a_%"/>
    <tableColumn id="7" xr3:uid="{00000000-0010-0000-1A00-000007000000}" name="Roccatura_x000a_[MWh]"/>
    <tableColumn id="8" xr3:uid="{00000000-0010-0000-1A00-000008000000}" name="Altro_x000a_%"/>
    <tableColumn id="9" xr3:uid="{00000000-0010-0000-1A00-000009000000}" name="Altro_x000a_[MWh]"/>
  </tableColumns>
  <tableStyleInfo name="TableStyleMedium3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ella_7d_EnergiaRapporti" displayName="Tabella_7d_EnergiaRapporti" ref="A73:D93">
  <tableColumns count="4">
    <tableColumn id="1" xr3:uid="{00000000-0010-0000-1B00-000001000000}" name="Anno"/>
    <tableColumn id="2" xr3:uid="{00000000-0010-0000-1B00-000002000000}" name="Energia Elettrica/ Energia Totale"/>
    <tableColumn id="3" xr3:uid="{00000000-0010-0000-1B00-000003000000}" name="Energia da Fotovoltaico/ Energia Totale"/>
    <tableColumn id="4" xr3:uid="{00000000-0010-0000-1B00-000004000000}" name="Energia da Fotovoltaico/ Energia Elettrica Totale"/>
  </tableColumns>
  <tableStyleInfo name="TableStyleMedium4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ella_En.ElettricaRete" displayName="Tabella_En.ElettricaRete" ref="A2:Q16">
  <tableColumns count="17">
    <tableColumn id="1" xr3:uid="{00000000-0010-0000-1C00-000001000000}" name="Mesi"/>
    <tableColumn id="2" xr3:uid="{00000000-0010-0000-1C00-000002000000}" name="UdM"/>
    <tableColumn id="3" xr3:uid="{00000000-0010-0000-1C00-000003000000}" name="2011"/>
    <tableColumn id="4" xr3:uid="{00000000-0010-0000-1C00-000004000000}" name="2012"/>
    <tableColumn id="5" xr3:uid="{00000000-0010-0000-1C00-000005000000}" name="2013"/>
    <tableColumn id="6" xr3:uid="{00000000-0010-0000-1C00-000006000000}" name="2014"/>
    <tableColumn id="7" xr3:uid="{00000000-0010-0000-1C00-000007000000}" name="2015"/>
    <tableColumn id="8" xr3:uid="{00000000-0010-0000-1C00-000008000000}" name="2016"/>
    <tableColumn id="9" xr3:uid="{00000000-0010-0000-1C00-000009000000}" name="2017"/>
    <tableColumn id="10" xr3:uid="{00000000-0010-0000-1C00-00000A000000}" name="2018"/>
    <tableColumn id="11" xr3:uid="{00000000-0010-0000-1C00-00000B000000}" name="2019"/>
    <tableColumn id="12" xr3:uid="{00000000-0010-0000-1C00-00000C000000}" name="2020"/>
    <tableColumn id="13" xr3:uid="{00000000-0010-0000-1C00-00000D000000}" name="2021"/>
    <tableColumn id="14" xr3:uid="{00000000-0010-0000-1C00-00000E000000}" name="2022"/>
    <tableColumn id="15" xr3:uid="{00000000-0010-0000-1C00-00000F000000}" name="2023"/>
    <tableColumn id="16" xr3:uid="{00000000-0010-0000-1C00-000010000000}" name="2024"/>
    <tableColumn id="17" xr3:uid="{20C1BD45-A8CA-430C-B08E-BE860D08D661}" name="2025" dataDxfId="148"/>
  </tableColumns>
  <tableStyleInfo name="TableStyleMedium2" showFirstColumn="1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ella_En.ElettricaFotvoltaico" displayName="Tabella_En.ElettricaFotvoltaico" ref="A19:Q33">
  <tableColumns count="17">
    <tableColumn id="1" xr3:uid="{00000000-0010-0000-1D00-000001000000}" name="Mesi"/>
    <tableColumn id="2" xr3:uid="{00000000-0010-0000-1D00-000002000000}" name="UdM"/>
    <tableColumn id="3" xr3:uid="{00000000-0010-0000-1D00-000003000000}" name="2011"/>
    <tableColumn id="4" xr3:uid="{00000000-0010-0000-1D00-000004000000}" name="2012"/>
    <tableColumn id="5" xr3:uid="{00000000-0010-0000-1D00-000005000000}" name="2013"/>
    <tableColumn id="6" xr3:uid="{00000000-0010-0000-1D00-000006000000}" name="2014"/>
    <tableColumn id="7" xr3:uid="{00000000-0010-0000-1D00-000007000000}" name="2015"/>
    <tableColumn id="8" xr3:uid="{00000000-0010-0000-1D00-000008000000}" name="2016"/>
    <tableColumn id="9" xr3:uid="{00000000-0010-0000-1D00-000009000000}" name="2017"/>
    <tableColumn id="10" xr3:uid="{00000000-0010-0000-1D00-00000A000000}" name="2018"/>
    <tableColumn id="11" xr3:uid="{00000000-0010-0000-1D00-00000B000000}" name="2019"/>
    <tableColumn id="12" xr3:uid="{00000000-0010-0000-1D00-00000C000000}" name="2020"/>
    <tableColumn id="13" xr3:uid="{00000000-0010-0000-1D00-00000D000000}" name="2021"/>
    <tableColumn id="14" xr3:uid="{00000000-0010-0000-1D00-00000E000000}" name="2022"/>
    <tableColumn id="15" xr3:uid="{00000000-0010-0000-1D00-00000F000000}" name="2023"/>
    <tableColumn id="16" xr3:uid="{00000000-0010-0000-1D00-000010000000}" name="2024"/>
    <tableColumn id="17" xr3:uid="{3FD11E9D-7A39-487C-A765-1F7F838247A8}" name="2025" dataDxfId="147"/>
  </tableColumns>
  <tableStyleInfo name="TableStyleMedium7" showFirstColumn="1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ella_OlioCombustibile" displayName="Tabella_OlioCombustibile" ref="A41:Q55">
  <tableColumns count="17">
    <tableColumn id="1" xr3:uid="{00000000-0010-0000-1E00-000001000000}" name="Mesi"/>
    <tableColumn id="2" xr3:uid="{00000000-0010-0000-1E00-000002000000}" name="2011 kg"/>
    <tableColumn id="3" xr3:uid="{00000000-0010-0000-1E00-000003000000}" name="2011 GJ"/>
    <tableColumn id="4" xr3:uid="{00000000-0010-0000-1E00-000004000000}" name="2012 kg"/>
    <tableColumn id="5" xr3:uid="{00000000-0010-0000-1E00-000005000000}" name="2012 GJ"/>
    <tableColumn id="6" xr3:uid="{00000000-0010-0000-1E00-000006000000}" name="2013 kg"/>
    <tableColumn id="7" xr3:uid="{00000000-0010-0000-1E00-000007000000}" name="2013 GJ"/>
    <tableColumn id="8" xr3:uid="{00000000-0010-0000-1E00-000008000000}" name="2014 kg"/>
    <tableColumn id="9" xr3:uid="{00000000-0010-0000-1E00-000009000000}" name="2014 GJ"/>
    <tableColumn id="10" xr3:uid="{00000000-0010-0000-1E00-00000A000000}" name="2015 kg"/>
    <tableColumn id="11" xr3:uid="{00000000-0010-0000-1E00-00000B000000}" name="2015 GJ"/>
    <tableColumn id="12" xr3:uid="{00000000-0010-0000-1E00-00000C000000}" name="2016 kg"/>
    <tableColumn id="13" xr3:uid="{00000000-0010-0000-1E00-00000D000000}" name="2016 GJ"/>
    <tableColumn id="14" xr3:uid="{00000000-0010-0000-1E00-00000E000000}" name="2017 kg"/>
    <tableColumn id="15" xr3:uid="{00000000-0010-0000-1E00-00000F000000}" name="2017 GJ"/>
    <tableColumn id="16" xr3:uid="{00000000-0010-0000-1E00-000010000000}" name="2018 kg"/>
    <tableColumn id="17" xr3:uid="{00000000-0010-0000-1E00-000011000000}" name="2018 GJ" dataDxfId="146"/>
  </tableColumns>
  <tableStyleInfo name="TableStyleMedium2" showFirstColumn="1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ella_Metano" displayName="Tabella_Metano" ref="A63:S77">
  <tableColumns count="19">
    <tableColumn id="1" xr3:uid="{00000000-0010-0000-1F00-000001000000}" name="Mesi"/>
    <tableColumn id="2" xr3:uid="{00000000-0010-0000-1F00-000002000000}" name="2017 m3"/>
    <tableColumn id="3" xr3:uid="{00000000-0010-0000-1F00-000003000000}" name="2017 GJ"/>
    <tableColumn id="4" xr3:uid="{00000000-0010-0000-1F00-000004000000}" name="2018 m3"/>
    <tableColumn id="5" xr3:uid="{00000000-0010-0000-1F00-000005000000}" name="2018 GJ"/>
    <tableColumn id="6" xr3:uid="{00000000-0010-0000-1F00-000006000000}" name="2019 m3"/>
    <tableColumn id="7" xr3:uid="{00000000-0010-0000-1F00-000007000000}" name="2019 GJ"/>
    <tableColumn id="8" xr3:uid="{00000000-0010-0000-1F00-000008000000}" name="2020 m3"/>
    <tableColumn id="9" xr3:uid="{00000000-0010-0000-1F00-000009000000}" name="2020 GJ"/>
    <tableColumn id="10" xr3:uid="{00000000-0010-0000-1F00-00000A000000}" name="2021 m3"/>
    <tableColumn id="11" xr3:uid="{00000000-0010-0000-1F00-00000B000000}" name="2021 GJ"/>
    <tableColumn id="12" xr3:uid="{00000000-0010-0000-1F00-00000C000000}" name="2022 m3"/>
    <tableColumn id="13" xr3:uid="{00000000-0010-0000-1F00-00000D000000}" name="2022 GJ"/>
    <tableColumn id="14" xr3:uid="{00000000-0010-0000-1F00-00000E000000}" name="2023 m3"/>
    <tableColumn id="15" xr3:uid="{00000000-0010-0000-1F00-00000F000000}" name="2023 GJ"/>
    <tableColumn id="16" xr3:uid="{00000000-0010-0000-1F00-000010000000}" name="2024 m3"/>
    <tableColumn id="17" xr3:uid="{00000000-0010-0000-1F00-000011000000}" name="2024 GJ" dataDxfId="145"/>
    <tableColumn id="20" xr3:uid="{0DC4E94D-3604-431B-A9E8-5317DCD7AE36}" name="2025 m3" dataDxfId="144"/>
    <tableColumn id="21" xr3:uid="{61837A29-E6C5-4FA3-AB19-8B2C93C058C6}" name="2025 GJ" dataDxfId="143"/>
  </tableColumns>
  <tableStyleInfo name="TableStyleMedium2" showFirstColumn="1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Tabella_En.Elettr.Mese" displayName="Tabella_En.Elettr.Mese" ref="A4:E17">
  <tableColumns count="5">
    <tableColumn id="1" xr3:uid="{00000000-0010-0000-2400-000001000000}" name="Mesi"/>
    <tableColumn id="2" xr3:uid="{00000000-0010-0000-2400-000002000000}" name="UdM"/>
    <tableColumn id="3" xr3:uid="{00000000-0010-0000-2400-000003000000}" name="2023"/>
    <tableColumn id="4" xr3:uid="{00000000-0010-0000-2400-000004000000}" name="2024"/>
    <tableColumn id="5" xr3:uid="{94E9E42B-3B04-48C0-AA85-FD3A0525F722}" name="2025" dataDxfId="142"/>
  </tableColumns>
  <tableStyleInfo name="TableStyleMedium2" showFirstColumn="1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Tabella_FotovoltaicoMese" displayName="Tabella_FotovoltaicoMese" ref="A21:E34">
  <tableColumns count="5">
    <tableColumn id="1" xr3:uid="{00000000-0010-0000-2500-000001000000}" name="Mesi"/>
    <tableColumn id="2" xr3:uid="{00000000-0010-0000-2500-000002000000}" name="UdM"/>
    <tableColumn id="3" xr3:uid="{00000000-0010-0000-2500-000003000000}" name="2023"/>
    <tableColumn id="4" xr3:uid="{00000000-0010-0000-2500-000004000000}" name="2024"/>
    <tableColumn id="5" xr3:uid="{B3AD211B-B0C0-4DCB-BC57-10EEA3F6A2E3}" name="2025" dataDxfId="141"/>
  </tableColumns>
  <tableStyleInfo name="TableStyleMedium3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a_4_ProdottiFiniti" displayName="Tabella_4_ProdottiFiniti" ref="A4:I24" headerRowDxfId="151">
  <tableColumns count="9">
    <tableColumn id="1" xr3:uid="{00000000-0010-0000-0200-000001000000}" name="Anno"/>
    <tableColumn id="2" xr3:uid="{00000000-0010-0000-0200-000002000000}" name="TOPS di lana pettinata trattata [t/anno]"/>
    <tableColumn id="3" xr3:uid="{00000000-0010-0000-0200-000003000000}" name="Var. rispetto anno precedente _x000a_[%]"/>
    <tableColumn id="4" xr3:uid="{00000000-0010-0000-0200-000004000000}" name="Filato tinto_x000a_[t/anno]"/>
    <tableColumn id="5" xr3:uid="{00000000-0010-0000-0200-000005000000}" name="Var. rispetto anno precedente _x000a_[%]2"/>
    <tableColumn id="6" xr3:uid="{00000000-0010-0000-0200-000006000000}" name="TOPS + Filato_x000a_[t/anno]"/>
    <tableColumn id="7" xr3:uid="{00000000-0010-0000-0200-000007000000}" name="Var. rispetto anno precedente _x000a_[%]3"/>
    <tableColumn id="8" xr3:uid="{00000000-0010-0000-0200-000008000000}" name="Roccatura_x000a_[t/anno]"/>
    <tableColumn id="9" xr3:uid="{00000000-0010-0000-0200-000009000000}" name="Var. rispetto anno precedente _x000a_[%]4"/>
  </tableColumns>
  <tableStyleInfo name="TableStyleMedium3" showFirstColumn="1" showLastColumn="1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Tabella_En.TermicaMese" displayName="Tabella_En.TermicaMese" ref="A38:E51">
  <tableColumns count="5">
    <tableColumn id="1" xr3:uid="{00000000-0010-0000-2600-000001000000}" name="Mesi"/>
    <tableColumn id="2" xr3:uid="{00000000-0010-0000-2600-000002000000}" name="UdM"/>
    <tableColumn id="3" xr3:uid="{00000000-0010-0000-2600-000003000000}" name="2023"/>
    <tableColumn id="4" xr3:uid="{00000000-0010-0000-2600-000004000000}" name="2024"/>
    <tableColumn id="5" xr3:uid="{E5495B84-462B-4F2F-A731-67DED427F2FB}" name="2025" dataDxfId="140"/>
  </tableColumns>
  <tableStyleInfo name="TableStyleMedium7" showFirstColumn="1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Tabella_En.TotaleMese" displayName="Tabella_En.TotaleMese" ref="A55:E68">
  <tableColumns count="5">
    <tableColumn id="1" xr3:uid="{00000000-0010-0000-2700-000001000000}" name="Mesi"/>
    <tableColumn id="2" xr3:uid="{00000000-0010-0000-2700-000002000000}" name="UdM"/>
    <tableColumn id="3" xr3:uid="{00000000-0010-0000-2700-000003000000}" name="2023"/>
    <tableColumn id="4" xr3:uid="{00000000-0010-0000-2700-000004000000}" name="2024"/>
    <tableColumn id="5" xr3:uid="{03B030C6-1199-497C-8C6C-9125B90D073E}" name="2025" dataDxfId="139"/>
  </tableColumns>
  <tableStyleInfo name="TableStyleMedium4" showFirstColumn="1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Tabella_8.1_MetanoAnno" displayName="Tabella_8.1_MetanoAnno" ref="A4:C18">
  <tableColumns count="3">
    <tableColumn id="1" xr3:uid="{00000000-0010-0000-2800-000001000000}" name="Anno"/>
    <tableColumn id="2" xr3:uid="{00000000-0010-0000-2800-000002000000}" name="Totale_x000a_[Stdm3]"/>
    <tableColumn id="3" xr3:uid="{00000000-0010-0000-2800-000003000000}" name="Var. rispetto anno precedente _x000a_[%]"/>
  </tableColumns>
  <tableStyleInfo name="TableStyleMedium3" showFirstColumn="1" showLastColumn="1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Tabella_8.2_MetanoAnnoRipartizione" displayName="Tabella_8.2_MetanoAnnoRipartizione" ref="E4:M18">
  <tableColumns count="9">
    <tableColumn id="1" xr3:uid="{00000000-0010-0000-2900-000001000000}" name="Anno"/>
    <tableColumn id="2" xr3:uid="{00000000-0010-0000-2900-000002000000}" name="Tratt. Irr._x000a_%"/>
    <tableColumn id="3" xr3:uid="{00000000-0010-0000-2900-000003000000}" name="Tratt. Irr._x000a_[Stdm3]"/>
    <tableColumn id="4" xr3:uid="{00000000-0010-0000-2900-000004000000}" name="Tintoria_x000a_%"/>
    <tableColumn id="5" xr3:uid="{00000000-0010-0000-2900-000005000000}" name="Tintoria_x000a_[Stdm3]"/>
    <tableColumn id="6" xr3:uid="{00000000-0010-0000-2900-000006000000}" name="Roccatura_x000a_%"/>
    <tableColumn id="7" xr3:uid="{00000000-0010-0000-2900-000007000000}" name="Roccatura_x000a_[Stdm3]"/>
    <tableColumn id="8" xr3:uid="{00000000-0010-0000-2900-000008000000}" name="Altro_x000a_%"/>
    <tableColumn id="9" xr3:uid="{00000000-0010-0000-2900-000009000000}" name="Altro_x000a_[Stdm3]"/>
  </tableColumns>
  <tableStyleInfo name="TableStyleMedium2" showFirstColumn="1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Tabella_9.1_Emissioni_Caldaie" displayName="Tabella_9.1_Emissioni_Caldaie" ref="A4:F20">
  <tableColumns count="6">
    <tableColumn id="1" xr3:uid="{00000000-0010-0000-2A00-000001000000}" name="Data"/>
    <tableColumn id="2" xr3:uid="{00000000-0010-0000-2A00-000002000000}" name="Punto di Emissione"/>
    <tableColumn id="3" xr3:uid="{00000000-0010-0000-2A00-000003000000}" name="NOx"/>
    <tableColumn id="4" xr3:uid="{00000000-0010-0000-2A00-000004000000}" name="CO"/>
    <tableColumn id="5" xr3:uid="{00000000-0010-0000-2A00-000005000000}" name="Laboratorio"/>
    <tableColumn id="6" xr3:uid="{00000000-0010-0000-2A00-000006000000}" name="Rapporto di Prova"/>
  </tableColumns>
  <tableStyleInfo name="TableStyleMedium7" showFirstColumn="1" showLastColumn="1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Tabella_9.2_Emissioni_Scrubber" displayName="Tabella_9.2_Emissioni_Scrubber" ref="H4:O15">
  <tableColumns count="8">
    <tableColumn id="1" xr3:uid="{00000000-0010-0000-2B00-000001000000}" name="Data"/>
    <tableColumn id="2" xr3:uid="{00000000-0010-0000-2B00-000002000000}" name="Punto di Emissione"/>
    <tableColumn id="3" xr3:uid="{00000000-0010-0000-2B00-000003000000}" name="HCl"/>
    <tableColumn id="4" xr3:uid="{00000000-0010-0000-2B00-000004000000}" name="Portata"/>
    <tableColumn id="5" xr3:uid="{00000000-0010-0000-2B00-000005000000}" name="T.O.C."/>
    <tableColumn id="6" xr3:uid="{00000000-0010-0000-2B00-000006000000}" name="Portata2"/>
    <tableColumn id="7" xr3:uid="{00000000-0010-0000-2B00-000007000000}" name="Laboratorio"/>
    <tableColumn id="8" xr3:uid="{00000000-0010-0000-2B00-000008000000}" name="Rapporto di Prova"/>
  </tableColumns>
  <tableStyleInfo name="TableStyleMedium2" showFirstColumn="1" showLastColumn="1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Tabella_13a_Scarichi_152" displayName="Tabella_13a_Scarichi_152" ref="A4:AF40">
  <autoFilter ref="A4:AF40" xr:uid="{00000000-000C-0000-FFFF-FFFF2C000000}"/>
  <tableColumns count="32">
    <tableColumn id="1" xr3:uid="{00000000-0010-0000-2C00-000001000000}" name="DATA"/>
    <tableColumn id="2" xr3:uid="{00000000-0010-0000-2C00-000002000000}" name="LABORATORIO"/>
    <tableColumn id="3" xr3:uid="{00000000-0010-0000-2C00-000003000000}" name="RAPPORTO DI PROVA"/>
    <tableColumn id="4" xr3:uid="{00000000-0010-0000-2C00-000004000000}" name="PUNTO DI PRELIEVO"/>
    <tableColumn id="5" xr3:uid="{00000000-0010-0000-2C00-000005000000}" name="pH"/>
    <tableColumn id="6" xr3:uid="{00000000-0010-0000-2C00-000006000000}" name="Colore"/>
    <tableColumn id="7" xr3:uid="{00000000-0010-0000-2C00-000007000000}" name="Solidi sospesi totali_x000a_mg/l"/>
    <tableColumn id="8" xr3:uid="{00000000-0010-0000-2C00-000008000000}" name="COD _x000a_mg/l"/>
    <tableColumn id="9" xr3:uid="{00000000-0010-0000-2C00-000009000000}" name="BOD5_x000a_mg/l"/>
    <tableColumn id="10" xr3:uid="{00000000-0010-0000-2C00-00000A000000}" name="Azoto totale_x000a_mg/l"/>
    <tableColumn id="11" xr3:uid="{00000000-0010-0000-2C00-00000B000000}" name="Azoto ammoniacale_x000a_mg/l"/>
    <tableColumn id="12" xr3:uid="{00000000-0010-0000-2C00-00000C000000}" name="Azoto nitroso_x000a_mg/l"/>
    <tableColumn id="13" xr3:uid="{00000000-0010-0000-2C00-00000D000000}" name="Azoto nitrico_x000a_mg/l"/>
    <tableColumn id="14" xr3:uid="{00000000-0010-0000-2C00-00000E000000}" name="Azoto organico_x000a_mg/l"/>
    <tableColumn id="15" xr3:uid="{00000000-0010-0000-2C00-00000F000000}" name="Cloruri_x000a_mg/l"/>
    <tableColumn id="16" xr3:uid="{00000000-0010-0000-2C00-000010000000}" name="Solfati_x000a_mg/l"/>
    <tableColumn id="17" xr3:uid="{00000000-0010-0000-2C00-000011000000}" name="Tensioattivi totali_x000a_mg/l"/>
    <tableColumn id="18" xr3:uid="{00000000-0010-0000-2C00-000012000000}" name="Tensioattivi anionici_x000a_mg/l"/>
    <tableColumn id="19" xr3:uid="{00000000-0010-0000-2C00-000013000000}" name="Tensioattivi non ionici_x000a_mg/l"/>
    <tableColumn id="20" xr3:uid="{00000000-0010-0000-2C00-000014000000}" name="Tensioattivi cationici_x000a_mg/l"/>
    <tableColumn id="21" xr3:uid="{00000000-0010-0000-2C00-000015000000}" name="Cromo VI_x000a_mg/l"/>
    <tableColumn id="22" xr3:uid="{00000000-0010-0000-2C00-000016000000}" name="Al_x000a_mg/l"/>
    <tableColumn id="23" xr3:uid="{00000000-0010-0000-2C00-000017000000}" name="Cd_x000a_mg/l"/>
    <tableColumn id="24" xr3:uid="{00000000-0010-0000-2C00-000018000000}" name="Cr_x000a_mg/l"/>
    <tableColumn id="25" xr3:uid="{00000000-0010-0000-2C00-000019000000}" name="Fe_x000a_mg/l"/>
    <tableColumn id="26" xr3:uid="{00000000-0010-0000-2C00-00001A000000}" name="Fosforo totale_x000a_mg/l"/>
    <tableColumn id="27" xr3:uid="{00000000-0010-0000-2C00-00001B000000}" name="Mn_x000a_mg/l"/>
    <tableColumn id="28" xr3:uid="{00000000-0010-0000-2C00-00001C000000}" name="Ni_x000a_mg/l2"/>
    <tableColumn id="29" xr3:uid="{00000000-0010-0000-2C00-00001D000000}" name="Pb_x000a_mg/l"/>
    <tableColumn id="30" xr3:uid="{00000000-0010-0000-2C00-00001E000000}" name="Cu_x000a_mg/l"/>
    <tableColumn id="31" xr3:uid="{00000000-0010-0000-2C00-00001F000000}" name="Zn_x000a_mg/l"/>
    <tableColumn id="32" xr3:uid="{00000000-0010-0000-2C00-000020000000}" name="ANNOTAZIONI"/>
  </tableColumns>
  <tableStyleInfo name="TableStyleMedium2" showFirstColumn="1" showLastColumn="1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DAA389E-E2A9-4279-8ED8-A0B8075E2D78}" name="Tabella_13a_Scarichi_BAT64" displayName="Tabella_13a_Scarichi_BAT64" ref="A4:U9" headerRowDxfId="138" dataDxfId="137" totalsRowDxfId="136">
  <tableColumns count="21">
    <tableColumn id="1" xr3:uid="{D17E0D93-818B-4A77-97E6-B75E2D35B704}" name="DATA" dataDxfId="135"/>
    <tableColumn id="2" xr3:uid="{0AD1708E-2B04-46CE-BD1F-0FFF72E4A5FC}" name="LABORATORIO" dataDxfId="134"/>
    <tableColumn id="3" xr3:uid="{0B0B2806-7799-42E9-924D-E91C3B216E1D}" name="RAPPORTO DI PROVA" dataDxfId="133"/>
    <tableColumn id="4" xr3:uid="{1A1857F6-4FA2-4EC2-948B-2B5DB9AB0A7C}" name="PUNTO DI PRELIEVO" dataDxfId="132"/>
    <tableColumn id="5" xr3:uid="{0351EE94-5281-41C5-83AC-8AC4447987D5}" name="COD _x000a_mg/l" dataDxfId="131"/>
    <tableColumn id="6" xr3:uid="{74CF4A78-A2B6-4FFC-8ECF-BE38BEF78E20}" name="TOC_x000a_mg/l" dataDxfId="130"/>
    <tableColumn id="7" xr3:uid="{408F2F12-3347-4714-8DDA-6CE7F1650473}" name="Azoto totale_x000a_mg/l" dataDxfId="129"/>
    <tableColumn id="8" xr3:uid="{AEBFF61C-A123-47AE-AEB7-E8A8CB346723}" name="Fosforo totale_x000a_mg/l" dataDxfId="128"/>
    <tableColumn id="9" xr3:uid="{9FE292AD-5238-49E0-BD5A-5E50E49EB983}" name="Solidi sospesi totali_x000a_mg/l" dataDxfId="127"/>
    <tableColumn id="10" xr3:uid="{11777961-7484-41EE-B4A8-82BC9E2B11AA}" name="Sb_x000a_mg/l" dataDxfId="126"/>
    <tableColumn id="11" xr3:uid="{8BE2C81E-CF9A-4778-BDF3-F254AD06308D}" name="Cr_x000a_mg/l" dataDxfId="125"/>
    <tableColumn id="12" xr3:uid="{E0335B74-EC20-417D-B0DB-A68D09D09C60}" name="Cu_x000a_mg/l" dataDxfId="124"/>
    <tableColumn id="13" xr3:uid="{384FB572-A2B1-4BCF-A919-DB3FB76C550F}" name="Ni_x000a_mg/l2" dataDxfId="123"/>
    <tableColumn id="14" xr3:uid="{F1A33AA1-C2B7-4B01-B974-F4BC1569B675}" name="Zn_x000a_mg/l" dataDxfId="122"/>
    <tableColumn id="15" xr3:uid="{78BA126D-5409-4ABA-8761-829D64C8FE43}" name="Colore" dataDxfId="121"/>
    <tableColumn id="16" xr3:uid="{DA37FC5D-CE46-4505-9622-0F509D0E3446}" name="AOX_x000a_mg/l" dataDxfId="120"/>
    <tableColumn id="17" xr3:uid="{B1BA65B5-DB5C-440D-8E60-14340B181376}" name="HOI_x000a_mg/l" dataDxfId="119"/>
    <tableColumn id="18" xr3:uid="{A04BCCD6-4DE5-4E8B-A494-0C9EE95BAD02}" name="Altri Tensioattivi (Tensioattivi totali)_x000a_mg/l" dataDxfId="118"/>
    <tableColumn id="19" xr3:uid="{DD01E901-E5E2-4401-AF10-5D9C1E3BB047}" name="Solfuri_x000a_mg/l" dataDxfId="117"/>
    <tableColumn id="20" xr3:uid="{A9E07E4B-68A9-4666-82C8-689C10228C95}" name="Tossicità_x000a_%" dataDxfId="116"/>
    <tableColumn id="21" xr3:uid="{DC672462-C35F-4E14-AF53-E4AAB33EA5E7}" name="ANNOTAZIONI" dataDxfId="115"/>
  </tableColumns>
  <tableStyleInfo name="TableStyleMedium7" showFirstColumn="1" showLastColumn="1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Tabella_15_Rifiuti" displayName="Tabella_15_Rifiuti" ref="A4:M28" totalsRowCount="1">
  <autoFilter ref="A4:M27" xr:uid="{00000000-000C-0000-FFFF-FFFF2E000000}"/>
  <tableColumns count="13">
    <tableColumn id="1" xr3:uid="{00000000-0010-0000-2E00-000001000000}" name="Denominazione" totalsRowDxfId="114"/>
    <tableColumn id="2" xr3:uid="{00000000-0010-0000-2E00-000002000000}" name="EER" dataDxfId="113" totalsRowDxfId="112"/>
    <tableColumn id="3" xr3:uid="{00000000-0010-0000-2E00-000003000000}" name="Smaltimento (D) / Recupero (R)" totalsRowDxfId="111"/>
    <tableColumn id="4" xr3:uid="{00000000-0010-0000-2E00-000004000000}" name="P / NP" totalsRowDxfId="110"/>
    <tableColumn id="5" xr3:uid="{00000000-0010-0000-2E00-000005000000}" name="Quantità prodotta_x000a_[kg]_x000a_2017" totalsRowFunction="custom" totalsRowDxfId="109">
      <totalsRowFormula>SUBTOTAL(109,E5:E27)</totalsRowFormula>
    </tableColumn>
    <tableColumn id="6" xr3:uid="{00000000-0010-0000-2E00-000006000000}" name="Quantità prodotta_x000a_[kg]_x000a_2018" totalsRowFunction="custom" totalsRowDxfId="108">
      <totalsRowFormula>SUBTOTAL(109,F5:F27)</totalsRowFormula>
    </tableColumn>
    <tableColumn id="7" xr3:uid="{00000000-0010-0000-2E00-000007000000}" name="Quantità prodotta_x000a_[kg]_x000a_2019" totalsRowFunction="custom" totalsRowDxfId="107">
      <totalsRowFormula>SUBTOTAL(109,G5:G27)</totalsRowFormula>
    </tableColumn>
    <tableColumn id="8" xr3:uid="{00000000-0010-0000-2E00-000008000000}" name="Quantità prodotta_x000a_[kg]_x000a_2020" totalsRowFunction="custom" totalsRowDxfId="106">
      <totalsRowFormula>SUBTOTAL(109,H5:H27)</totalsRowFormula>
    </tableColumn>
    <tableColumn id="9" xr3:uid="{00000000-0010-0000-2E00-000009000000}" name="Quantità prodotta_x000a_[kg]_x000a_2021" totalsRowFunction="custom" totalsRowDxfId="105">
      <totalsRowFormula>SUBTOTAL(109,I5:I27)</totalsRowFormula>
    </tableColumn>
    <tableColumn id="10" xr3:uid="{00000000-0010-0000-2E00-00000A000000}" name="Quantità prodotta_x000a_[kg]_x000a_2022" totalsRowFunction="custom" totalsRowDxfId="104">
      <totalsRowFormula>SUBTOTAL(109,J5:J27)</totalsRowFormula>
    </tableColumn>
    <tableColumn id="11" xr3:uid="{00000000-0010-0000-2E00-00000B000000}" name="Quantità prodotta_x000a_[kg]_x000a_2023" totalsRowFunction="custom" totalsRowDxfId="103">
      <totalsRowFormula>SUBTOTAL(109,K5:K27)</totalsRowFormula>
    </tableColumn>
    <tableColumn id="12" xr3:uid="{00000000-0010-0000-2E00-00000C000000}" name="Quantità prodotta_x000a_[kg]_x000a_2024" totalsRowFunction="custom" dataDxfId="102" totalsRowDxfId="101">
      <totalsRowFormula>SUBTOTAL(109,L5:L27)</totalsRowFormula>
    </tableColumn>
    <tableColumn id="13" xr3:uid="{B727022F-5A3E-4D21-9A43-E67671A3F339}" name="Quantità prodotta_x000a_[kg]_x000a_2025" dataDxfId="100" totalsRowDxfId="99"/>
  </tableColumns>
  <tableStyleInfo name="TableStyleMedium2" showFirstColumn="1" showLastColumn="1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F000000}" name="Tabella_Rifiuti_categorie" displayName="Tabella_Rifiuti_categorie" ref="M2:V12" headerRowDxfId="61" dataDxfId="60" totalsRowDxfId="59">
  <tableColumns count="10">
    <tableColumn id="1" xr3:uid="{00000000-0010-0000-2F00-000001000000}" name="Anno" dataDxfId="58"/>
    <tableColumn id="2" xr3:uid="{00000000-0010-0000-2F00-000002000000}" name="D" dataDxfId="57"/>
    <tableColumn id="3" xr3:uid="{00000000-0010-0000-2F00-000003000000}" name="D %" dataDxfId="56"/>
    <tableColumn id="4" xr3:uid="{00000000-0010-0000-2F00-000004000000}" name="R" dataDxfId="55"/>
    <tableColumn id="5" xr3:uid="{00000000-0010-0000-2F00-000005000000}" name="R %" dataDxfId="54"/>
    <tableColumn id="6" xr3:uid="{00000000-0010-0000-2F00-000006000000}" name="NP" dataDxfId="53"/>
    <tableColumn id="7" xr3:uid="{00000000-0010-0000-2F00-000007000000}" name="NP %" dataDxfId="52"/>
    <tableColumn id="8" xr3:uid="{00000000-0010-0000-2F00-000008000000}" name="P" dataDxfId="51"/>
    <tableColumn id="9" xr3:uid="{00000000-0010-0000-2F00-000009000000}" name="P %" dataDxfId="50"/>
    <tableColumn id="10" xr3:uid="{00000000-0010-0000-2F00-00000A000000}" name="Totale" dataDxfId="49"/>
  </tableColumns>
  <tableStyleInfo name="TableStyleMedium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a_TintoriaMese" displayName="Tabella_TintoriaMese" ref="A4:E17">
  <tableColumns count="5">
    <tableColumn id="1" xr3:uid="{00000000-0010-0000-0300-000001000000}" name="Mesi"/>
    <tableColumn id="2" xr3:uid="{00000000-0010-0000-0300-000002000000}" name="UdM"/>
    <tableColumn id="3" xr3:uid="{00000000-0010-0000-0300-000003000000}" name="2023"/>
    <tableColumn id="4" xr3:uid="{00000000-0010-0000-0300-000004000000}" name="2024"/>
    <tableColumn id="5" xr3:uid="{00000000-0010-0000-0300-000005000000}" name="2025"/>
  </tableColumns>
  <tableStyleInfo name="TableStyleMedium2" showFirstColumn="1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6000000}" name="Tabella_21_KPI" displayName="Tabella_21_KPI" ref="A4:U12">
  <tableColumns count="21">
    <tableColumn id="1" xr3:uid="{00000000-0010-0000-3600-000001000000}" name="Indicatore"/>
    <tableColumn id="2" xr3:uid="{00000000-0010-0000-3600-000002000000}" name="Unità di Misura"/>
    <tableColumn id="3" xr3:uid="{00000000-0010-0000-3600-000003000000}" name="2014"/>
    <tableColumn id="4" xr3:uid="{00000000-0010-0000-3600-000004000000}" name="2015"/>
    <tableColumn id="5" xr3:uid="{00000000-0010-0000-3600-000005000000}" name="2016"/>
    <tableColumn id="6" xr3:uid="{00000000-0010-0000-3600-000006000000}" name="2017"/>
    <tableColumn id="7" xr3:uid="{00000000-0010-0000-3600-000007000000}" name="2018"/>
    <tableColumn id="8" xr3:uid="{00000000-0010-0000-3600-000008000000}" name="2019"/>
    <tableColumn id="9" xr3:uid="{00000000-0010-0000-3600-000009000000}" name="diff. 19-18"/>
    <tableColumn id="10" xr3:uid="{00000000-0010-0000-3600-00000A000000}" name="2020"/>
    <tableColumn id="11" xr3:uid="{00000000-0010-0000-3600-00000B000000}" name="diff. 20-19"/>
    <tableColumn id="12" xr3:uid="{00000000-0010-0000-3600-00000C000000}" name="2021"/>
    <tableColumn id="13" xr3:uid="{00000000-0010-0000-3600-00000D000000}" name="diff. 21-20"/>
    <tableColumn id="14" xr3:uid="{00000000-0010-0000-3600-00000E000000}" name="2022"/>
    <tableColumn id="15" xr3:uid="{00000000-0010-0000-3600-00000F000000}" name="diff. 22-21"/>
    <tableColumn id="16" xr3:uid="{00000000-0010-0000-3600-000010000000}" name="2023"/>
    <tableColumn id="17" xr3:uid="{00000000-0010-0000-3600-000011000000}" name="diff. 23-22"/>
    <tableColumn id="18" xr3:uid="{00000000-0010-0000-3600-000012000000}" name="2024"/>
    <tableColumn id="19" xr3:uid="{00000000-0010-0000-3600-000013000000}" name="diff. 24-23"/>
    <tableColumn id="20" xr3:uid="{05612F00-136A-4691-A44A-F13F0ECB31A2}" name="2025"/>
    <tableColumn id="21" xr3:uid="{A83BDB79-5F41-4710-B9E0-BFBA7744B5D3}" name="diff. 24-25" dataDxfId="48"/>
  </tableColumns>
  <tableStyleInfo name="TableStyleMedium7" showFirstColumn="1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8000000}" name="Tabella_22_Circ" displayName="Tabella_22_Circ" ref="A4:P9">
  <tableColumns count="16">
    <tableColumn id="1" xr3:uid="{00000000-0010-0000-3800-000001000000}" name="Indicatore"/>
    <tableColumn id="2" xr3:uid="{00000000-0010-0000-3800-000002000000}" name="Unità di Misura"/>
    <tableColumn id="3" xr3:uid="{00000000-0010-0000-3800-000003000000}" name="Unità di Misura2"/>
    <tableColumn id="4" xr3:uid="{00000000-0010-0000-3800-000004000000}" name="2019"/>
    <tableColumn id="5" xr3:uid="{00000000-0010-0000-3800-000005000000}" name="2020"/>
    <tableColumn id="6" xr3:uid="{00000000-0010-0000-3800-000006000000}" name="diff 20-19"/>
    <tableColumn id="7" xr3:uid="{00000000-0010-0000-3800-000007000000}" name="2021"/>
    <tableColumn id="8" xr3:uid="{00000000-0010-0000-3800-000008000000}" name="diff 21-20"/>
    <tableColumn id="9" xr3:uid="{00000000-0010-0000-3800-000009000000}" name="2022"/>
    <tableColumn id="10" xr3:uid="{00000000-0010-0000-3800-00000A000000}" name="diff 22-21"/>
    <tableColumn id="11" xr3:uid="{00000000-0010-0000-3800-00000B000000}" name="2023"/>
    <tableColumn id="12" xr3:uid="{00000000-0010-0000-3800-00000C000000}" name="diff 23-22"/>
    <tableColumn id="13" xr3:uid="{00000000-0010-0000-3800-00000D000000}" name="2024"/>
    <tableColumn id="14" xr3:uid="{00000000-0010-0000-3800-00000E000000}" name="diff 24-23"/>
    <tableColumn id="15" xr3:uid="{7EE4D2FC-FF2D-4A7D-8660-330E71B660F0}" name="2025" dataDxfId="47"/>
    <tableColumn id="16" xr3:uid="{97CAD587-B7C7-445F-958E-50828F605CB9}" name="diff 25-24" dataDxfId="46"/>
  </tableColumns>
  <tableStyleInfo name="TableStyleMedium7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la_RoccatuaMese" displayName="Tabella_RoccatuaMese" ref="G4:K17">
  <tableColumns count="5">
    <tableColumn id="1" xr3:uid="{00000000-0010-0000-0400-000001000000}" name="Mesi"/>
    <tableColumn id="2" xr3:uid="{00000000-0010-0000-0400-000002000000}" name="UdM"/>
    <tableColumn id="3" xr3:uid="{00000000-0010-0000-0400-000003000000}" name="2023"/>
    <tableColumn id="4" xr3:uid="{00000000-0010-0000-0400-000004000000}" name="2024"/>
    <tableColumn id="5" xr3:uid="{00000000-0010-0000-0400-000005000000}" name="2025"/>
  </tableColumns>
  <tableStyleInfo name="TableStyleMedium7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la_Tratt.Irr.Mese" displayName="Tabella_Tratt.Irr.Mese" ref="A21:E34">
  <tableColumns count="5">
    <tableColumn id="1" xr3:uid="{00000000-0010-0000-0500-000001000000}" name="Mesi"/>
    <tableColumn id="2" xr3:uid="{00000000-0010-0000-0500-000002000000}" name="UdM"/>
    <tableColumn id="3" xr3:uid="{00000000-0010-0000-0500-000003000000}" name="2023"/>
    <tableColumn id="4" xr3:uid="{00000000-0010-0000-0500-000004000000}" name="2024"/>
    <tableColumn id="5" xr3:uid="{00000000-0010-0000-0500-000005000000}" name="2025"/>
  </tableColumns>
  <tableStyleInfo name="TableStyleMedium3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la_ConfezioneMese" displayName="Tabella_ConfezioneMese" ref="G21:K34">
  <tableColumns count="5">
    <tableColumn id="1" xr3:uid="{00000000-0010-0000-0600-000001000000}" name="Mesi"/>
    <tableColumn id="2" xr3:uid="{00000000-0010-0000-0600-000002000000}" name="UdM"/>
    <tableColumn id="3" xr3:uid="{00000000-0010-0000-0600-000003000000}" name="2023"/>
    <tableColumn id="4" xr3:uid="{00000000-0010-0000-0600-000004000000}" name="2024"/>
    <tableColumn id="5" xr3:uid="{00000000-0010-0000-0600-000005000000}" name="2025"/>
  </tableColumns>
  <tableStyleInfo name="TableStyleMedium5" showFirstColumn="1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la_ProduzioneMese" displayName="Tabella_ProduzioneMese" ref="A38:E51">
  <tableColumns count="5">
    <tableColumn id="1" xr3:uid="{00000000-0010-0000-0700-000001000000}" name="Mesi"/>
    <tableColumn id="2" xr3:uid="{00000000-0010-0000-0700-000002000000}" name="UdM"/>
    <tableColumn id="3" xr3:uid="{00000000-0010-0000-0700-000003000000}" name="2023"/>
    <tableColumn id="4" xr3:uid="{00000000-0010-0000-0700-000004000000}" name="2024"/>
    <tableColumn id="5" xr3:uid="{00000000-0010-0000-0700-000005000000}" name="2025"/>
  </tableColumns>
  <tableStyleInfo name="TableStyleMedium4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la_6.1_Attingimento" displayName="Tabella_6.1_Attingimento" ref="A4:H24" headerRowDxfId="150">
  <tableColumns count="8">
    <tableColumn id="1" xr3:uid="{00000000-0010-0000-0800-000001000000}" name="Anno"/>
    <tableColumn id="2" xr3:uid="{00000000-0010-0000-0800-000002000000}" name="Pozzo 1_x000a_[m3]"/>
    <tableColumn id="3" xr3:uid="{00000000-0010-0000-0800-000003000000}" name="Pozzo 2_x000a_[m3]2"/>
    <tableColumn id="4" xr3:uid="{00000000-0010-0000-0800-000004000000}" name="Pozzo 3_x000a_[m3]3"/>
    <tableColumn id="5" xr3:uid="{00000000-0010-0000-0800-000005000000}" name="Totale Pozzi _x000a_[m3]"/>
    <tableColumn id="6" xr3:uid="{00000000-0010-0000-0800-000006000000}" name="Acquedotto_x000a_[m3]"/>
    <tableColumn id="7" xr3:uid="{00000000-0010-0000-0800-000007000000}" name="Totale_x000a_[m3]"/>
    <tableColumn id="8" xr3:uid="{00000000-0010-0000-0800-000008000000}" name="Var. rispetto anno precedente _x000a_[%]"/>
  </tableColumns>
  <tableStyleInfo name="TableStyleMedium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table" Target="../tables/table3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table" Target="../tables/table3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39.xml"/><Relationship Id="rId4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2" Type="http://schemas.openxmlformats.org/officeDocument/2006/relationships/table" Target="../tables/table18.xml"/><Relationship Id="rId1" Type="http://schemas.openxmlformats.org/officeDocument/2006/relationships/table" Target="../tables/table17.xml"/><Relationship Id="rId6" Type="http://schemas.openxmlformats.org/officeDocument/2006/relationships/table" Target="../tables/table22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table" Target="../tables/table24.xml"/><Relationship Id="rId4" Type="http://schemas.openxmlformats.org/officeDocument/2006/relationships/table" Target="../tables/table2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table" Target="../tables/table28.xml"/><Relationship Id="rId4" Type="http://schemas.openxmlformats.org/officeDocument/2006/relationships/table" Target="../tables/table3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8D08D"/>
  </sheetPr>
  <dimension ref="A1:M24"/>
  <sheetViews>
    <sheetView showGridLines="0" tabSelected="1" workbookViewId="0"/>
  </sheetViews>
  <sheetFormatPr defaultColWidth="14.42578125" defaultRowHeight="15" customHeight="1" x14ac:dyDescent="0.25"/>
  <cols>
    <col min="1" max="1" width="12.7109375" customWidth="1"/>
    <col min="2" max="2" width="18.7109375" customWidth="1"/>
    <col min="3" max="3" width="12.7109375" customWidth="1"/>
    <col min="4" max="4" width="18.7109375" customWidth="1"/>
    <col min="5" max="5" width="12.7109375" customWidth="1"/>
    <col min="6" max="6" width="6.7109375" customWidth="1"/>
    <col min="7" max="7" width="12.7109375" customWidth="1"/>
    <col min="8" max="12" width="15.7109375" customWidth="1"/>
    <col min="13" max="13" width="12.7109375" customWidth="1"/>
    <col min="14" max="25" width="8.7109375" customWidth="1"/>
  </cols>
  <sheetData>
    <row r="1" spans="1:13" x14ac:dyDescent="0.25">
      <c r="A1" s="1" t="s">
        <v>0</v>
      </c>
      <c r="B1" s="2"/>
      <c r="C1" s="3"/>
      <c r="D1" s="2"/>
      <c r="E1" s="3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2"/>
      <c r="C2" s="3"/>
      <c r="D2" s="2"/>
      <c r="E2" s="3"/>
      <c r="F2" s="2"/>
      <c r="G2" s="2"/>
      <c r="H2" s="2"/>
      <c r="I2" s="2"/>
      <c r="J2" s="2"/>
      <c r="K2" s="2"/>
      <c r="L2" s="2"/>
      <c r="M2" s="2"/>
    </row>
    <row r="3" spans="1:13" x14ac:dyDescent="0.25">
      <c r="A3" s="4" t="s">
        <v>1</v>
      </c>
      <c r="C3" s="5"/>
      <c r="E3" s="5"/>
      <c r="G3" s="4" t="s">
        <v>2</v>
      </c>
    </row>
    <row r="4" spans="1:13" s="101" customFormat="1" ht="48" x14ac:dyDescent="0.25">
      <c r="A4" s="93" t="s">
        <v>3</v>
      </c>
      <c r="B4" s="94" t="s">
        <v>4</v>
      </c>
      <c r="C4" s="96" t="s">
        <v>5</v>
      </c>
      <c r="D4" s="94" t="s">
        <v>6</v>
      </c>
      <c r="E4" s="96" t="s">
        <v>7</v>
      </c>
      <c r="F4" s="93"/>
      <c r="G4" s="93" t="s">
        <v>3</v>
      </c>
      <c r="H4" s="94" t="s">
        <v>8</v>
      </c>
      <c r="I4" s="94" t="s">
        <v>9</v>
      </c>
      <c r="J4" s="94" t="s">
        <v>10</v>
      </c>
      <c r="K4" s="102" t="s">
        <v>11</v>
      </c>
      <c r="L4" s="103" t="s">
        <v>12</v>
      </c>
      <c r="M4" s="104" t="s">
        <v>5</v>
      </c>
    </row>
    <row r="5" spans="1:13" x14ac:dyDescent="0.25">
      <c r="A5" s="2">
        <v>2011</v>
      </c>
      <c r="B5" s="7">
        <f>'4. Prodotti Finiti'!B5*1.02</f>
        <v>1541.5157999999999</v>
      </c>
      <c r="C5" s="8"/>
      <c r="D5" s="7">
        <f>'4. Prodotti Finiti'!D5*1.02</f>
        <v>2643.6105000000002</v>
      </c>
      <c r="E5" s="8"/>
      <c r="F5" s="2"/>
      <c r="G5" s="2">
        <v>2011</v>
      </c>
      <c r="H5" s="9"/>
      <c r="I5" s="7"/>
      <c r="J5" s="7"/>
      <c r="K5" s="7"/>
      <c r="L5" s="7"/>
      <c r="M5" s="8"/>
    </row>
    <row r="6" spans="1:13" x14ac:dyDescent="0.25">
      <c r="A6" s="2">
        <v>2012</v>
      </c>
      <c r="B6" s="7">
        <f>'4. Prodotti Finiti'!B6*1.02</f>
        <v>0</v>
      </c>
      <c r="C6" s="8"/>
      <c r="D6" s="7">
        <f>'4. Prodotti Finiti'!D6*1.02</f>
        <v>0</v>
      </c>
      <c r="E6" s="8"/>
      <c r="F6" s="2"/>
      <c r="G6" s="2">
        <v>2012</v>
      </c>
      <c r="H6" s="9"/>
      <c r="I6" s="7"/>
      <c r="J6" s="7"/>
      <c r="K6" s="7"/>
      <c r="L6" s="7"/>
      <c r="M6" s="8"/>
    </row>
    <row r="7" spans="1:13" x14ac:dyDescent="0.25">
      <c r="A7" s="2">
        <v>2013</v>
      </c>
      <c r="B7" s="7">
        <f>'4. Prodotti Finiti'!B7*1.02</f>
        <v>1644.2665200000001</v>
      </c>
      <c r="C7" s="8"/>
      <c r="D7" s="7">
        <f>'4. Prodotti Finiti'!D7*1.02</f>
        <v>1957.1270400000001</v>
      </c>
      <c r="E7" s="8"/>
      <c r="F7" s="2"/>
      <c r="G7" s="2">
        <v>2013</v>
      </c>
      <c r="H7" s="9"/>
      <c r="I7" s="7"/>
      <c r="J7" s="7"/>
      <c r="K7" s="7"/>
      <c r="L7" s="7"/>
      <c r="M7" s="8"/>
    </row>
    <row r="8" spans="1:13" x14ac:dyDescent="0.25">
      <c r="A8" s="2">
        <v>2014</v>
      </c>
      <c r="B8" s="7">
        <f>'4. Prodotti Finiti'!B8*1.02</f>
        <v>1845.68694</v>
      </c>
      <c r="C8" s="8">
        <f>('1. Materie Prime'!$B8-B7)/B7</f>
        <v>0.12249864456280476</v>
      </c>
      <c r="D8" s="7">
        <f>'4. Prodotti Finiti'!D8*1.02</f>
        <v>2007.3232800000001</v>
      </c>
      <c r="E8" s="8">
        <f>('1. Materie Prime'!$D8-D7)/D7</f>
        <v>2.5647921148746679E-2</v>
      </c>
      <c r="F8" s="2"/>
      <c r="G8" s="2">
        <v>2014</v>
      </c>
      <c r="H8" s="9"/>
      <c r="I8" s="7"/>
      <c r="J8" s="7"/>
      <c r="K8" s="7"/>
      <c r="L8" s="7"/>
      <c r="M8" s="8"/>
    </row>
    <row r="9" spans="1:13" x14ac:dyDescent="0.25">
      <c r="A9" s="2">
        <v>2015</v>
      </c>
      <c r="B9" s="7">
        <f>'4. Prodotti Finiti'!B9*1.02</f>
        <v>1324.21398</v>
      </c>
      <c r="C9" s="97">
        <f>('1. Materie Prime'!$B9-B8)/B8</f>
        <v>-0.28253597546721548</v>
      </c>
      <c r="D9" s="7">
        <f>'4. Prodotti Finiti'!D9*1.02</f>
        <v>1885.20072</v>
      </c>
      <c r="E9" s="8">
        <f>('1. Materie Prime'!$D9-D8)/D8</f>
        <v>-6.0838511273580219E-2</v>
      </c>
      <c r="F9" s="2"/>
      <c r="G9" s="2">
        <v>2015</v>
      </c>
      <c r="H9" s="9"/>
      <c r="I9" s="7"/>
      <c r="J9" s="7"/>
      <c r="K9" s="7"/>
      <c r="L9" s="7"/>
      <c r="M9" s="8"/>
    </row>
    <row r="10" spans="1:13" x14ac:dyDescent="0.25">
      <c r="A10" s="2">
        <v>2016</v>
      </c>
      <c r="B10" s="7">
        <f>'4. Prodotti Finiti'!B10*1.02</f>
        <v>1853.1625200000001</v>
      </c>
      <c r="C10" s="8">
        <f>('1. Materie Prime'!$B10-B9)/B9</f>
        <v>0.39944340415436491</v>
      </c>
      <c r="D10" s="7">
        <f>'4. Prodotti Finiti'!D10*1.02</f>
        <v>1896.5645400000001</v>
      </c>
      <c r="E10" s="8">
        <f>('1. Materie Prime'!$D10-D9)/D9</f>
        <v>6.0279098556677993E-3</v>
      </c>
      <c r="F10" s="2"/>
      <c r="G10" s="2">
        <v>2016</v>
      </c>
      <c r="H10" s="9"/>
      <c r="I10" s="7"/>
      <c r="J10" s="7"/>
      <c r="K10" s="7"/>
      <c r="L10" s="7"/>
      <c r="M10" s="8"/>
    </row>
    <row r="11" spans="1:13" x14ac:dyDescent="0.25">
      <c r="A11" s="2">
        <v>2017</v>
      </c>
      <c r="B11" s="7">
        <f>'4. Prodotti Finiti'!B11*1.02</f>
        <v>1999.23876</v>
      </c>
      <c r="C11" s="8">
        <f>('1. Materie Prime'!$B11-B10)/B10</f>
        <v>7.882538008593E-2</v>
      </c>
      <c r="D11" s="7">
        <f>'4. Prodotti Finiti'!D11*1.02</f>
        <v>2013.2066400000001</v>
      </c>
      <c r="E11" s="8">
        <f>('1. Materie Prime'!$D11-D10)/D10</f>
        <v>6.1501782586317902E-2</v>
      </c>
      <c r="F11" s="2"/>
      <c r="G11" s="2">
        <v>2017</v>
      </c>
      <c r="H11" s="9"/>
      <c r="I11" s="7"/>
      <c r="J11" s="7"/>
      <c r="K11" s="7"/>
      <c r="L11" s="7"/>
      <c r="M11" s="8"/>
    </row>
    <row r="12" spans="1:13" x14ac:dyDescent="0.25">
      <c r="A12" s="2">
        <v>2018</v>
      </c>
      <c r="B12" s="7">
        <f>'4. Prodotti Finiti'!B12*1.02</f>
        <v>2050.8599399999998</v>
      </c>
      <c r="C12" s="8">
        <f>('1. Materie Prime'!$B12-B11)/B11</f>
        <v>2.5820417767410567E-2</v>
      </c>
      <c r="D12" s="7">
        <f>'4. Prodotti Finiti'!D12*1.02</f>
        <v>1969.66182</v>
      </c>
      <c r="E12" s="8">
        <f>('1. Materie Prime'!$D12-D11)/D11</f>
        <v>-2.1629582942365055E-2</v>
      </c>
      <c r="F12" s="2"/>
      <c r="G12" s="2">
        <v>2018</v>
      </c>
      <c r="H12" s="9"/>
      <c r="I12" s="7"/>
      <c r="J12" s="7"/>
      <c r="K12" s="7"/>
      <c r="L12" s="7"/>
      <c r="M12" s="8"/>
    </row>
    <row r="13" spans="1:13" x14ac:dyDescent="0.25">
      <c r="A13" s="2">
        <v>2019</v>
      </c>
      <c r="B13" s="7">
        <f>'4. Prodotti Finiti'!B13*1.02</f>
        <v>2087.5258800000001</v>
      </c>
      <c r="C13" s="8">
        <f>('1. Materie Prime'!$B13-B12)/B12</f>
        <v>1.7878324738256051E-2</v>
      </c>
      <c r="D13" s="7">
        <f>'4. Prodotti Finiti'!D13*1.02</f>
        <v>1941.3201000000001</v>
      </c>
      <c r="E13" s="8">
        <f>('1. Materie Prime'!$D13-D12)/D12</f>
        <v>-1.4389130008114741E-2</v>
      </c>
      <c r="F13" s="2"/>
      <c r="G13" s="2">
        <v>2019</v>
      </c>
      <c r="H13" s="9">
        <v>55.3</v>
      </c>
      <c r="I13" s="7">
        <v>354.8</v>
      </c>
      <c r="J13" s="7">
        <v>1063.5</v>
      </c>
      <c r="K13" s="7">
        <f>SUM('1. Materie Prime'!$I13,'1. Materie Prime'!$J13)</f>
        <v>1418.3</v>
      </c>
      <c r="L13" s="7">
        <f>SUM('1. Materie Prime'!$H13,'1. Materie Prime'!$K13)</f>
        <v>1473.6</v>
      </c>
      <c r="M13" s="8"/>
    </row>
    <row r="14" spans="1:13" x14ac:dyDescent="0.25">
      <c r="A14" s="2">
        <v>2020</v>
      </c>
      <c r="B14" s="7">
        <f>'4. Prodotti Finiti'!B14*1.02</f>
        <v>1641.9837600000001</v>
      </c>
      <c r="C14" s="8">
        <f>('1. Materie Prime'!$B14-B13)/B13</f>
        <v>-0.21343070486867452</v>
      </c>
      <c r="D14" s="7">
        <f>'4. Prodotti Finiti'!D14*1.02</f>
        <v>1151.7686999999999</v>
      </c>
      <c r="E14" s="8">
        <f>('1. Materie Prime'!$D14-D13)/D13</f>
        <v>-0.40670850726781238</v>
      </c>
      <c r="F14" s="2"/>
      <c r="G14" s="2">
        <v>2020</v>
      </c>
      <c r="H14" s="9">
        <v>31.3</v>
      </c>
      <c r="I14" s="7">
        <v>259.60000000000002</v>
      </c>
      <c r="J14" s="7">
        <v>800.1</v>
      </c>
      <c r="K14" s="7">
        <f>SUM('1. Materie Prime'!$I14,'1. Materie Prime'!$J14)</f>
        <v>1059.7</v>
      </c>
      <c r="L14" s="7">
        <f>SUM('1. Materie Prime'!$H14,'1. Materie Prime'!$K14)</f>
        <v>1091</v>
      </c>
      <c r="M14" s="8">
        <f>('1. Materie Prime'!$L14-L13)/L13</f>
        <v>-0.25963626492942449</v>
      </c>
    </row>
    <row r="15" spans="1:13" x14ac:dyDescent="0.25">
      <c r="A15" s="2">
        <v>2021</v>
      </c>
      <c r="B15" s="7">
        <f>'4. Prodotti Finiti'!B15*1.02</f>
        <v>2037.5367000000001</v>
      </c>
      <c r="C15" s="8">
        <f>('1. Materie Prime'!$B15-B14)/B14</f>
        <v>0.24089942278113641</v>
      </c>
      <c r="D15" s="7">
        <f>'4. Prodotti Finiti'!D15*1.02</f>
        <v>1376.8633199999999</v>
      </c>
      <c r="E15" s="8">
        <f>('1. Materie Prime'!$D15-D14)/D14</f>
        <v>0.19543387487435637</v>
      </c>
      <c r="F15" s="2"/>
      <c r="G15" s="2">
        <v>2021</v>
      </c>
      <c r="H15" s="9">
        <v>40.4</v>
      </c>
      <c r="I15" s="7">
        <v>396.9</v>
      </c>
      <c r="J15" s="7">
        <v>1223</v>
      </c>
      <c r="K15" s="7">
        <f>SUM('1. Materie Prime'!$I15,'1. Materie Prime'!$J15)</f>
        <v>1619.9</v>
      </c>
      <c r="L15" s="7">
        <f>SUM('1. Materie Prime'!$H15,'1. Materie Prime'!$K15)</f>
        <v>1660.3000000000002</v>
      </c>
      <c r="M15" s="8">
        <f>('1. Materie Prime'!$L15-L14)/L14</f>
        <v>0.52181484876260331</v>
      </c>
    </row>
    <row r="16" spans="1:13" x14ac:dyDescent="0.25">
      <c r="A16" s="2">
        <v>2022</v>
      </c>
      <c r="B16" s="7">
        <f>'4. Prodotti Finiti'!B16*1.02</f>
        <v>2102.78712</v>
      </c>
      <c r="C16" s="8">
        <f>('1. Materie Prime'!$B16-B15)/B15</f>
        <v>3.2024169184289956E-2</v>
      </c>
      <c r="D16" s="7">
        <f>'4. Prodotti Finiti'!D16*1.02</f>
        <v>1706.3865600000001</v>
      </c>
      <c r="E16" s="8">
        <f>('1. Materie Prime'!$D16-D15)/D15</f>
        <v>0.23932894079856831</v>
      </c>
      <c r="F16" s="2"/>
      <c r="G16" s="2">
        <v>2022</v>
      </c>
      <c r="H16" s="9">
        <v>50.8</v>
      </c>
      <c r="I16" s="7">
        <v>395.4</v>
      </c>
      <c r="J16" s="7">
        <v>1060.4000000000001</v>
      </c>
      <c r="K16" s="7">
        <f>SUM('1. Materie Prime'!$I16,'1. Materie Prime'!$J16)</f>
        <v>1455.8000000000002</v>
      </c>
      <c r="L16" s="7">
        <f>SUM('1. Materie Prime'!$H16,'1. Materie Prime'!$K16)</f>
        <v>1506.6000000000001</v>
      </c>
      <c r="M16" s="8">
        <f>('1. Materie Prime'!$L16-L15)/L15</f>
        <v>-9.2573631271456985E-2</v>
      </c>
    </row>
    <row r="17" spans="1:13" x14ac:dyDescent="0.25">
      <c r="A17" s="2">
        <v>2023</v>
      </c>
      <c r="B17" s="7">
        <f>'4. Prodotti Finiti'!B17*1.02</f>
        <v>1449.50262</v>
      </c>
      <c r="C17" s="8">
        <f>('1. Materie Prime'!$B17-B16)/B16</f>
        <v>-0.31067552858132402</v>
      </c>
      <c r="D17" s="7">
        <f>'4. Prodotti Finiti'!D17*1.02</f>
        <v>1429.4419433999997</v>
      </c>
      <c r="E17" s="8">
        <f>('1. Materie Prime'!$D17-D16)/D16</f>
        <v>-0.16229887359169101</v>
      </c>
      <c r="F17" s="2"/>
      <c r="G17" s="2">
        <v>2023</v>
      </c>
      <c r="H17" s="9">
        <v>39.299999999999997</v>
      </c>
      <c r="I17" s="7">
        <v>261.7</v>
      </c>
      <c r="J17" s="7">
        <v>669</v>
      </c>
      <c r="K17" s="7">
        <f>SUM('1. Materie Prime'!$I17,'1. Materie Prime'!$J17)</f>
        <v>930.7</v>
      </c>
      <c r="L17" s="7">
        <f>SUM('1. Materie Prime'!$H17,'1. Materie Prime'!$K17)</f>
        <v>970</v>
      </c>
      <c r="M17" s="8">
        <f>('1. Materie Prime'!$L17-L16)/L16</f>
        <v>-0.3561662020443383</v>
      </c>
    </row>
    <row r="18" spans="1:13" x14ac:dyDescent="0.25">
      <c r="A18" s="2">
        <v>2024</v>
      </c>
      <c r="B18" s="7">
        <f>'4. Prodotti Finiti'!B18*1.02</f>
        <v>1251.4094400000001</v>
      </c>
      <c r="C18" s="8">
        <f>('1. Materie Prime'!$B18-B17)/B17</f>
        <v>-0.13666286439689213</v>
      </c>
      <c r="D18" s="7">
        <f>'4. Prodotti Finiti'!D18*1.02</f>
        <v>1344.4358471999999</v>
      </c>
      <c r="E18" s="8">
        <f>('1. Materie Prime'!$D18-D17)/D17</f>
        <v>-5.9468029878715113E-2</v>
      </c>
      <c r="F18" s="2"/>
      <c r="G18" s="2">
        <v>2024</v>
      </c>
      <c r="H18" s="9">
        <v>30.7</v>
      </c>
      <c r="I18" s="7">
        <v>289.2</v>
      </c>
      <c r="J18" s="7">
        <v>779</v>
      </c>
      <c r="K18" s="7">
        <f>SUM('1. Materie Prime'!$I18,'1. Materie Prime'!$J18)</f>
        <v>1068.2</v>
      </c>
      <c r="L18" s="7">
        <f>SUM('1. Materie Prime'!$H18,'1. Materie Prime'!$K18)</f>
        <v>1098.9000000000001</v>
      </c>
      <c r="M18" s="8">
        <f>('1. Materie Prime'!$L18-L17)/L17</f>
        <v>0.13288659793814442</v>
      </c>
    </row>
    <row r="19" spans="1:13" x14ac:dyDescent="0.25">
      <c r="A19" s="2">
        <v>2025</v>
      </c>
      <c r="B19" s="7"/>
      <c r="C19" s="8"/>
      <c r="D19" s="7"/>
      <c r="E19" s="8"/>
      <c r="G19" s="2">
        <v>2025</v>
      </c>
      <c r="H19" s="9"/>
      <c r="I19" s="7"/>
      <c r="J19" s="7"/>
      <c r="K19" s="2"/>
      <c r="L19" s="2"/>
      <c r="M19" s="2"/>
    </row>
    <row r="20" spans="1:13" x14ac:dyDescent="0.25">
      <c r="A20" s="2">
        <v>2026</v>
      </c>
      <c r="B20" s="7"/>
      <c r="C20" s="10"/>
      <c r="D20" s="7"/>
      <c r="E20" s="10"/>
      <c r="G20" s="2">
        <v>2026</v>
      </c>
      <c r="H20" s="9"/>
      <c r="I20" s="7"/>
      <c r="J20" s="7"/>
      <c r="K20" s="2"/>
      <c r="L20" s="2"/>
      <c r="M20" s="2"/>
    </row>
    <row r="21" spans="1:13" ht="15.75" customHeight="1" x14ac:dyDescent="0.25">
      <c r="A21" s="2">
        <v>2027</v>
      </c>
      <c r="B21" s="7"/>
      <c r="C21" s="10"/>
      <c r="D21" s="7"/>
      <c r="E21" s="10"/>
      <c r="G21" s="2">
        <v>2027</v>
      </c>
      <c r="H21" s="9"/>
      <c r="I21" s="7"/>
      <c r="J21" s="7"/>
      <c r="K21" s="2"/>
      <c r="L21" s="2"/>
      <c r="M21" s="2"/>
    </row>
    <row r="22" spans="1:13" ht="15.75" customHeight="1" x14ac:dyDescent="0.25">
      <c r="A22" s="2">
        <v>2028</v>
      </c>
      <c r="B22" s="7"/>
      <c r="C22" s="10"/>
      <c r="D22" s="7"/>
      <c r="E22" s="10"/>
      <c r="G22" s="2">
        <v>2028</v>
      </c>
      <c r="H22" s="9"/>
      <c r="I22" s="7"/>
      <c r="J22" s="7"/>
      <c r="K22" s="2"/>
      <c r="L22" s="2"/>
      <c r="M22" s="2"/>
    </row>
    <row r="23" spans="1:13" ht="15.75" customHeight="1" x14ac:dyDescent="0.25">
      <c r="A23" s="2">
        <v>2029</v>
      </c>
      <c r="B23" s="7"/>
      <c r="C23" s="10"/>
      <c r="D23" s="7"/>
      <c r="E23" s="10"/>
      <c r="G23" s="2">
        <v>2029</v>
      </c>
      <c r="H23" s="9"/>
      <c r="I23" s="7"/>
      <c r="J23" s="7"/>
      <c r="K23" s="2"/>
      <c r="L23" s="2"/>
      <c r="M23" s="2"/>
    </row>
    <row r="24" spans="1:13" ht="15.75" customHeight="1" x14ac:dyDescent="0.25">
      <c r="A24" s="2">
        <v>2030</v>
      </c>
      <c r="B24" s="7"/>
      <c r="C24" s="10"/>
      <c r="D24" s="7"/>
      <c r="E24" s="10"/>
      <c r="G24" s="2">
        <v>2030</v>
      </c>
      <c r="H24" s="9"/>
      <c r="I24" s="7"/>
      <c r="J24" s="7"/>
      <c r="K24" s="2"/>
      <c r="L24" s="2"/>
      <c r="M24" s="2"/>
    </row>
  </sheetData>
  <conditionalFormatting sqref="C5:C24 E5:E24">
    <cfRule type="cellIs" dxfId="45" priority="1" operator="greaterThan">
      <formula>0</formula>
    </cfRule>
    <cfRule type="cellIs" dxfId="44" priority="2" operator="lessThan">
      <formula>0</formula>
    </cfRule>
  </conditionalFormatting>
  <conditionalFormatting sqref="M5:M24">
    <cfRule type="cellIs" dxfId="43" priority="3" operator="greaterThan">
      <formula>0</formula>
    </cfRule>
    <cfRule type="cellIs" dxfId="42" priority="4" operator="lessThan">
      <formula>0</formula>
    </cfRule>
  </conditionalFormatting>
  <pageMargins left="0.70866141732283472" right="0.70866141732283472" top="0.74803149606299213" bottom="0.74803149606299213" header="0" footer="0"/>
  <pageSetup paperSize="9" orientation="landscape"/>
  <headerFooter>
    <oddFooter>&amp;L&amp;A&amp;R&amp;F</oddFooter>
  </headerFooter>
  <tableParts count="2"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8D08D"/>
  </sheetPr>
  <dimension ref="A1:M18"/>
  <sheetViews>
    <sheetView showGridLines="0" workbookViewId="0">
      <selection activeCell="I25" sqref="I25"/>
    </sheetView>
  </sheetViews>
  <sheetFormatPr defaultColWidth="14.42578125" defaultRowHeight="15" customHeight="1" x14ac:dyDescent="0.25"/>
  <cols>
    <col min="1" max="1" width="12.7109375" customWidth="1"/>
    <col min="2" max="2" width="15.7109375" customWidth="1"/>
    <col min="3" max="3" width="12.7109375" customWidth="1"/>
    <col min="4" max="4" width="6.7109375" customWidth="1"/>
    <col min="5" max="7" width="15.7109375" customWidth="1"/>
    <col min="8" max="13" width="10.7109375" customWidth="1"/>
    <col min="14" max="26" width="8.7109375" customWidth="1"/>
  </cols>
  <sheetData>
    <row r="1" spans="1:13" x14ac:dyDescent="0.25">
      <c r="A1" s="1" t="s">
        <v>210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4" t="s">
        <v>211</v>
      </c>
      <c r="B3" s="2"/>
      <c r="C3" s="3"/>
      <c r="D3" s="18"/>
      <c r="E3" s="4" t="s">
        <v>212</v>
      </c>
      <c r="F3" s="2"/>
      <c r="G3" s="2"/>
      <c r="H3" s="2"/>
      <c r="I3" s="18"/>
      <c r="J3" s="18"/>
      <c r="K3" s="18"/>
      <c r="L3" s="18"/>
      <c r="M3" s="2"/>
    </row>
    <row r="4" spans="1:13" ht="48" x14ac:dyDescent="0.25">
      <c r="A4" s="2" t="s">
        <v>3</v>
      </c>
      <c r="B4" s="6" t="s">
        <v>213</v>
      </c>
      <c r="C4" s="37" t="s">
        <v>5</v>
      </c>
      <c r="D4" s="2"/>
      <c r="E4" s="2" t="s">
        <v>3</v>
      </c>
      <c r="F4" s="6" t="s">
        <v>51</v>
      </c>
      <c r="G4" s="6" t="s">
        <v>214</v>
      </c>
      <c r="H4" s="6" t="s">
        <v>52</v>
      </c>
      <c r="I4" s="6" t="s">
        <v>215</v>
      </c>
      <c r="J4" s="6" t="s">
        <v>53</v>
      </c>
      <c r="K4" s="6" t="s">
        <v>216</v>
      </c>
      <c r="L4" s="6" t="s">
        <v>54</v>
      </c>
      <c r="M4" s="6" t="s">
        <v>217</v>
      </c>
    </row>
    <row r="5" spans="1:13" x14ac:dyDescent="0.25">
      <c r="A5" s="2">
        <v>2017</v>
      </c>
      <c r="B5" s="20">
        <f>'R. Energetiche-Comb. (letture)'!B76</f>
        <v>38552</v>
      </c>
      <c r="C5" s="8"/>
      <c r="D5" s="2"/>
      <c r="E5" s="2">
        <v>2017</v>
      </c>
      <c r="F5" s="24"/>
      <c r="G5" s="23">
        <f>'8. Combustibili'!$F5*'8. Combustibili'!$B5</f>
        <v>0</v>
      </c>
      <c r="H5" s="24"/>
      <c r="I5" s="11">
        <f>'8. Combustibili'!$H5*'8. Combustibili'!$B5</f>
        <v>0</v>
      </c>
      <c r="J5" s="24"/>
      <c r="K5" s="11">
        <f>'8. Combustibili'!$J5*'8. Combustibili'!$B5</f>
        <v>0</v>
      </c>
      <c r="L5" s="24"/>
      <c r="M5" s="11">
        <f>'8. Combustibili'!$L5*'8. Combustibili'!$B5</f>
        <v>0</v>
      </c>
    </row>
    <row r="6" spans="1:13" x14ac:dyDescent="0.25">
      <c r="A6" s="2">
        <v>2018</v>
      </c>
      <c r="B6" s="20">
        <f>'R. Energetiche-Comb. (letture)'!D76</f>
        <v>1000053</v>
      </c>
      <c r="C6" s="8"/>
      <c r="D6" s="2"/>
      <c r="E6" s="2">
        <v>2018</v>
      </c>
      <c r="F6" s="21">
        <v>0.28000000000000003</v>
      </c>
      <c r="G6" s="20">
        <f>'8. Combustibili'!$F6*'8. Combustibili'!$B6</f>
        <v>280014.84000000003</v>
      </c>
      <c r="H6" s="21">
        <v>0.7</v>
      </c>
      <c r="I6" s="11">
        <f>'8. Combustibili'!$H6*'8. Combustibili'!$B6</f>
        <v>700037.1</v>
      </c>
      <c r="J6" s="21"/>
      <c r="K6" s="11">
        <f>'8. Combustibili'!$J6*'8. Combustibili'!$B6</f>
        <v>0</v>
      </c>
      <c r="L6" s="21">
        <f>1-('8. Combustibili'!$F6+'8. Combustibili'!$H6+'8. Combustibili'!$J6)</f>
        <v>2.0000000000000018E-2</v>
      </c>
      <c r="M6" s="11">
        <f>'8. Combustibili'!$L6*'8. Combustibili'!$B6</f>
        <v>20001.060000000019</v>
      </c>
    </row>
    <row r="7" spans="1:13" x14ac:dyDescent="0.25">
      <c r="A7" s="2">
        <v>2019</v>
      </c>
      <c r="B7" s="20">
        <f>'R. Energetiche-Comb. (letture)'!F76</f>
        <v>1124795</v>
      </c>
      <c r="C7" s="8">
        <f>('8. Combustibili'!$B7-B6)/B6</f>
        <v>0.12473538902438171</v>
      </c>
      <c r="D7" s="2"/>
      <c r="E7" s="2">
        <v>2019</v>
      </c>
      <c r="F7" s="21">
        <v>0.28000000000000003</v>
      </c>
      <c r="G7" s="20">
        <f>'8. Combustibili'!$F7*'8. Combustibili'!$B7</f>
        <v>314942.60000000003</v>
      </c>
      <c r="H7" s="21">
        <v>0.7</v>
      </c>
      <c r="I7" s="11">
        <f>'8. Combustibili'!$H7*'8. Combustibili'!$B7</f>
        <v>787356.5</v>
      </c>
      <c r="J7" s="21"/>
      <c r="K7" s="11">
        <f>'8. Combustibili'!$J7*'8. Combustibili'!$B7</f>
        <v>0</v>
      </c>
      <c r="L7" s="21">
        <f>1-('8. Combustibili'!$F7+'8. Combustibili'!$H7+'8. Combustibili'!$J7)</f>
        <v>2.0000000000000018E-2</v>
      </c>
      <c r="M7" s="11">
        <f>'8. Combustibili'!$L7*'8. Combustibili'!$B7</f>
        <v>22495.90000000002</v>
      </c>
    </row>
    <row r="8" spans="1:13" x14ac:dyDescent="0.25">
      <c r="A8" s="2">
        <v>2020</v>
      </c>
      <c r="B8" s="20">
        <f>'R. Energetiche-Comb. (letture)'!H76</f>
        <v>776232</v>
      </c>
      <c r="C8" s="8">
        <f>('8. Combustibili'!$B8-B7)/B7</f>
        <v>-0.30989024666717047</v>
      </c>
      <c r="D8" s="2"/>
      <c r="E8" s="2">
        <v>2020</v>
      </c>
      <c r="F8" s="21">
        <v>0.28000000000000003</v>
      </c>
      <c r="G8" s="20">
        <f>'8. Combustibili'!$F8*'8. Combustibili'!$B8</f>
        <v>217344.96000000002</v>
      </c>
      <c r="H8" s="21">
        <v>0.7</v>
      </c>
      <c r="I8" s="11">
        <f>'8. Combustibili'!$H8*'8. Combustibili'!$B8</f>
        <v>543362.4</v>
      </c>
      <c r="J8" s="21"/>
      <c r="K8" s="11">
        <f>'8. Combustibili'!$J8*'8. Combustibili'!$B8</f>
        <v>0</v>
      </c>
      <c r="L8" s="21">
        <f>1-('8. Combustibili'!$F8+'8. Combustibili'!$H8+'8. Combustibili'!$J8)</f>
        <v>2.0000000000000018E-2</v>
      </c>
      <c r="M8" s="11">
        <f>'8. Combustibili'!$L8*'8. Combustibili'!$B8</f>
        <v>15524.640000000014</v>
      </c>
    </row>
    <row r="9" spans="1:13" x14ac:dyDescent="0.25">
      <c r="A9" s="2">
        <v>2021</v>
      </c>
      <c r="B9" s="20">
        <f>'R. Energetiche-Comb. (letture)'!J76</f>
        <v>989717</v>
      </c>
      <c r="C9" s="8">
        <f>('8. Combustibili'!$B9-B8)/B8</f>
        <v>0.27502731142235826</v>
      </c>
      <c r="D9" s="2"/>
      <c r="E9" s="2">
        <v>2021</v>
      </c>
      <c r="F9" s="21">
        <v>0.28000000000000003</v>
      </c>
      <c r="G9" s="20">
        <f>'8. Combustibili'!$F9*'8. Combustibili'!$B9</f>
        <v>277120.76</v>
      </c>
      <c r="H9" s="21">
        <v>0.7</v>
      </c>
      <c r="I9" s="11">
        <f>'8. Combustibili'!$H9*'8. Combustibili'!$B9</f>
        <v>692801.89999999991</v>
      </c>
      <c r="J9" s="21"/>
      <c r="K9" s="11">
        <f>'8. Combustibili'!$J9*'8. Combustibili'!$B9</f>
        <v>0</v>
      </c>
      <c r="L9" s="21">
        <f>1-('8. Combustibili'!$F9+'8. Combustibili'!$H9+'8. Combustibili'!$J9)</f>
        <v>2.0000000000000018E-2</v>
      </c>
      <c r="M9" s="11">
        <f>'8. Combustibili'!$L9*'8. Combustibili'!$B9</f>
        <v>19794.340000000018</v>
      </c>
    </row>
    <row r="10" spans="1:13" x14ac:dyDescent="0.25">
      <c r="A10" s="2">
        <v>2022</v>
      </c>
      <c r="B10" s="20">
        <f>'R. Energetiche-Comb. (letture)'!L76</f>
        <v>1106605</v>
      </c>
      <c r="C10" s="8">
        <f>('8. Combustibili'!$B10-B9)/B9</f>
        <v>0.1181024474673063</v>
      </c>
      <c r="D10" s="2"/>
      <c r="E10" s="2">
        <v>2022</v>
      </c>
      <c r="F10" s="21">
        <v>0.28000000000000003</v>
      </c>
      <c r="G10" s="20">
        <f>'8. Combustibili'!$F10*'8. Combustibili'!$B10</f>
        <v>309849.40000000002</v>
      </c>
      <c r="H10" s="21">
        <v>0.7</v>
      </c>
      <c r="I10" s="11">
        <f>'8. Combustibili'!$H10*'8. Combustibili'!$B10</f>
        <v>774623.5</v>
      </c>
      <c r="J10" s="21"/>
      <c r="K10" s="11">
        <f>'8. Combustibili'!$J10*'8. Combustibili'!$B10</f>
        <v>0</v>
      </c>
      <c r="L10" s="21">
        <f>1-('8. Combustibili'!$F10+'8. Combustibili'!$H10+'8. Combustibili'!$J10)</f>
        <v>2.0000000000000018E-2</v>
      </c>
      <c r="M10" s="11">
        <f>'8. Combustibili'!$L10*'8. Combustibili'!$B10</f>
        <v>22132.10000000002</v>
      </c>
    </row>
    <row r="11" spans="1:13" x14ac:dyDescent="0.25">
      <c r="A11" s="2">
        <v>2023</v>
      </c>
      <c r="B11" s="20">
        <f>'R. Energetiche-Comb. (letture)'!N76</f>
        <v>897844</v>
      </c>
      <c r="C11" s="8">
        <f>('8. Combustibili'!$B11-B10)/B10</f>
        <v>-0.18864996995314498</v>
      </c>
      <c r="D11" s="2"/>
      <c r="E11" s="2">
        <v>2023</v>
      </c>
      <c r="F11" s="21">
        <v>0.28000000000000003</v>
      </c>
      <c r="G11" s="20">
        <f>'8. Combustibili'!$F11*'8. Combustibili'!$B11</f>
        <v>251396.32000000004</v>
      </c>
      <c r="H11" s="21">
        <v>0.7</v>
      </c>
      <c r="I11" s="11">
        <f>'8. Combustibili'!$H11*'8. Combustibili'!$B11</f>
        <v>628490.79999999993</v>
      </c>
      <c r="J11" s="21"/>
      <c r="K11" s="11">
        <f>'8. Combustibili'!$J11*'8. Combustibili'!$B11</f>
        <v>0</v>
      </c>
      <c r="L11" s="21">
        <f>1-('8. Combustibili'!$F11+'8. Combustibili'!$H11+'8. Combustibili'!$J11)</f>
        <v>2.0000000000000018E-2</v>
      </c>
      <c r="M11" s="11">
        <f>'8. Combustibili'!$L11*'8. Combustibili'!$B11</f>
        <v>17956.880000000016</v>
      </c>
    </row>
    <row r="12" spans="1:13" x14ac:dyDescent="0.25">
      <c r="A12" s="2">
        <v>2024</v>
      </c>
      <c r="B12" s="20">
        <f>'R. Energetiche-Comb. (letture)'!P76</f>
        <v>824184</v>
      </c>
      <c r="C12" s="8">
        <f>('8. Combustibili'!$B12-B11)/B11</f>
        <v>-8.2040978165471956E-2</v>
      </c>
      <c r="D12" s="2"/>
      <c r="E12" s="2">
        <v>2024</v>
      </c>
      <c r="F12" s="24">
        <v>0.31</v>
      </c>
      <c r="G12" s="20">
        <f>'8. Combustibili'!$F12*'8. Combustibili'!$B12</f>
        <v>255497.04</v>
      </c>
      <c r="H12" s="24">
        <v>0.67</v>
      </c>
      <c r="I12" s="11">
        <f>'8. Combustibili'!$H12*'8. Combustibili'!$B12</f>
        <v>552203.28</v>
      </c>
      <c r="J12" s="24"/>
      <c r="K12" s="11">
        <f>'8. Combustibili'!$J12*'8. Combustibili'!$B12</f>
        <v>0</v>
      </c>
      <c r="L12" s="24">
        <v>0.02</v>
      </c>
      <c r="M12" s="11">
        <f>'8. Combustibili'!$L12*'8. Combustibili'!$B12</f>
        <v>16483.68</v>
      </c>
    </row>
    <row r="13" spans="1:13" ht="15" customHeight="1" x14ac:dyDescent="0.25">
      <c r="A13" s="2">
        <v>2025</v>
      </c>
      <c r="B13" s="20"/>
      <c r="C13" s="8"/>
      <c r="E13" s="2">
        <v>2025</v>
      </c>
      <c r="F13" s="24"/>
      <c r="G13" s="20"/>
      <c r="H13" s="24"/>
      <c r="I13" s="11"/>
      <c r="J13" s="24"/>
      <c r="K13" s="11"/>
      <c r="L13" s="24"/>
      <c r="M13" s="11"/>
    </row>
    <row r="14" spans="1:13" ht="15" customHeight="1" x14ac:dyDescent="0.25">
      <c r="A14" s="2">
        <v>2026</v>
      </c>
      <c r="E14" s="2">
        <v>2026</v>
      </c>
    </row>
    <row r="15" spans="1:13" ht="15" customHeight="1" x14ac:dyDescent="0.25">
      <c r="A15" s="2">
        <v>2027</v>
      </c>
      <c r="E15" s="2">
        <v>2027</v>
      </c>
    </row>
    <row r="16" spans="1:13" ht="15" customHeight="1" x14ac:dyDescent="0.25">
      <c r="A16" s="2">
        <v>2028</v>
      </c>
      <c r="E16" s="2">
        <v>2028</v>
      </c>
    </row>
    <row r="17" spans="1:5" ht="15" customHeight="1" x14ac:dyDescent="0.25">
      <c r="A17" s="2">
        <v>2029</v>
      </c>
      <c r="E17" s="2">
        <v>2029</v>
      </c>
    </row>
    <row r="18" spans="1:5" ht="15" customHeight="1" x14ac:dyDescent="0.25">
      <c r="A18" s="2">
        <v>2030</v>
      </c>
      <c r="E18" s="2">
        <v>2030</v>
      </c>
    </row>
  </sheetData>
  <conditionalFormatting sqref="C5:C18">
    <cfRule type="cellIs" dxfId="33" priority="1" operator="lessThan">
      <formula>0</formula>
    </cfRule>
    <cfRule type="cellIs" dxfId="32" priority="2" operator="greaterThan">
      <formula>0</formula>
    </cfRule>
  </conditionalFormatting>
  <pageMargins left="0.70866141732283472" right="0.70866141732283472" top="0.74803149606299213" bottom="0.74803149606299213" header="0" footer="0"/>
  <pageSetup paperSize="9" orientation="landscape"/>
  <headerFooter>
    <oddFooter>&amp;L&amp;A&amp;R&amp;F</oddFooter>
  </headerFooter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8D08D"/>
  </sheetPr>
  <dimension ref="A1:O20"/>
  <sheetViews>
    <sheetView showGridLines="0" workbookViewId="0">
      <selection activeCell="O16" sqref="O16"/>
    </sheetView>
  </sheetViews>
  <sheetFormatPr defaultColWidth="14.42578125" defaultRowHeight="15" customHeight="1" x14ac:dyDescent="0.25"/>
  <cols>
    <col min="1" max="6" width="15.7109375" customWidth="1"/>
    <col min="7" max="7" width="6.7109375" customWidth="1"/>
    <col min="8" max="14" width="15.7109375" customWidth="1"/>
    <col min="15" max="15" width="12.7109375" customWidth="1"/>
    <col min="16" max="26" width="8.7109375" customWidth="1"/>
  </cols>
  <sheetData>
    <row r="1" spans="1:15" x14ac:dyDescent="0.25">
      <c r="A1" s="1" t="s">
        <v>218</v>
      </c>
      <c r="B1" s="46"/>
      <c r="C1" s="46"/>
      <c r="D1" s="46"/>
      <c r="E1" s="46"/>
      <c r="F1" s="46"/>
      <c r="G1" s="46"/>
      <c r="H1" s="46"/>
      <c r="I1" s="46"/>
      <c r="J1" s="46"/>
      <c r="K1" s="49"/>
      <c r="L1" s="49"/>
      <c r="M1" s="49"/>
      <c r="N1" s="49"/>
      <c r="O1" s="49"/>
    </row>
    <row r="2" spans="1:15" x14ac:dyDescent="0.25">
      <c r="A2" s="1"/>
      <c r="B2" s="46"/>
      <c r="C2" s="46"/>
      <c r="D2" s="46"/>
      <c r="E2" s="46"/>
      <c r="F2" s="46"/>
      <c r="G2" s="46"/>
      <c r="H2" s="46"/>
      <c r="I2" s="46"/>
      <c r="J2" s="46"/>
      <c r="K2" s="49"/>
      <c r="L2" s="49"/>
      <c r="M2" s="49"/>
      <c r="N2" s="49"/>
      <c r="O2" s="49"/>
    </row>
    <row r="3" spans="1:15" x14ac:dyDescent="0.25">
      <c r="A3" s="4" t="s">
        <v>219</v>
      </c>
      <c r="B3" s="2"/>
      <c r="C3" s="46"/>
      <c r="D3" s="46"/>
      <c r="E3" s="46"/>
      <c r="F3" s="46"/>
      <c r="G3" s="46"/>
      <c r="H3" s="4" t="s">
        <v>220</v>
      </c>
      <c r="I3" s="2"/>
      <c r="J3" s="46"/>
      <c r="K3" s="46"/>
      <c r="L3" s="46"/>
      <c r="M3" s="46"/>
      <c r="N3" s="46"/>
      <c r="O3" s="46"/>
    </row>
    <row r="4" spans="1:15" ht="30" x14ac:dyDescent="0.25">
      <c r="A4" s="2" t="s">
        <v>128</v>
      </c>
      <c r="B4" s="6" t="s">
        <v>221</v>
      </c>
      <c r="C4" s="6" t="s">
        <v>222</v>
      </c>
      <c r="D4" s="6" t="s">
        <v>223</v>
      </c>
      <c r="E4" s="6" t="s">
        <v>224</v>
      </c>
      <c r="F4" s="6" t="s">
        <v>225</v>
      </c>
      <c r="G4" s="46"/>
      <c r="H4" s="2" t="s">
        <v>128</v>
      </c>
      <c r="I4" s="6" t="s">
        <v>221</v>
      </c>
      <c r="J4" s="6" t="s">
        <v>226</v>
      </c>
      <c r="K4" s="6" t="s">
        <v>227</v>
      </c>
      <c r="L4" s="6" t="s">
        <v>228</v>
      </c>
      <c r="M4" s="6" t="s">
        <v>229</v>
      </c>
      <c r="N4" s="6" t="s">
        <v>224</v>
      </c>
      <c r="O4" s="6" t="s">
        <v>225</v>
      </c>
    </row>
    <row r="5" spans="1:15" ht="17.25" x14ac:dyDescent="0.25">
      <c r="A5" s="50"/>
      <c r="B5" s="51"/>
      <c r="C5" s="50" t="s">
        <v>230</v>
      </c>
      <c r="D5" s="50" t="s">
        <v>231</v>
      </c>
      <c r="E5" s="50"/>
      <c r="F5" s="52"/>
      <c r="G5" s="46"/>
      <c r="H5" s="53"/>
      <c r="I5" s="54"/>
      <c r="J5" s="55" t="s">
        <v>232</v>
      </c>
      <c r="K5" s="55" t="s">
        <v>233</v>
      </c>
      <c r="L5" s="55" t="s">
        <v>234</v>
      </c>
      <c r="M5" s="55" t="s">
        <v>235</v>
      </c>
      <c r="N5" s="55"/>
      <c r="O5" s="56"/>
    </row>
    <row r="6" spans="1:15" x14ac:dyDescent="0.25">
      <c r="A6" s="57">
        <v>41899</v>
      </c>
      <c r="B6" s="22" t="s">
        <v>236</v>
      </c>
      <c r="C6" s="46" t="s">
        <v>237</v>
      </c>
      <c r="D6" s="2"/>
      <c r="E6" s="2" t="s">
        <v>238</v>
      </c>
      <c r="F6" s="2" t="s">
        <v>239</v>
      </c>
      <c r="G6" s="46"/>
      <c r="H6" s="57">
        <v>42321</v>
      </c>
      <c r="I6" s="22" t="s">
        <v>240</v>
      </c>
      <c r="J6" s="2" t="s">
        <v>241</v>
      </c>
      <c r="K6" s="2" t="s">
        <v>242</v>
      </c>
      <c r="L6" s="2"/>
      <c r="M6" s="2"/>
      <c r="N6" s="58" t="s">
        <v>238</v>
      </c>
      <c r="O6" s="2" t="s">
        <v>243</v>
      </c>
    </row>
    <row r="7" spans="1:15" x14ac:dyDescent="0.25">
      <c r="A7" s="57">
        <v>41899</v>
      </c>
      <c r="B7" s="22" t="s">
        <v>244</v>
      </c>
      <c r="C7" s="46" t="s">
        <v>237</v>
      </c>
      <c r="D7" s="2"/>
      <c r="E7" s="2" t="s">
        <v>238</v>
      </c>
      <c r="F7" s="2" t="s">
        <v>245</v>
      </c>
      <c r="G7" s="46"/>
      <c r="H7" s="57">
        <v>42321</v>
      </c>
      <c r="I7" s="22" t="s">
        <v>246</v>
      </c>
      <c r="J7" s="2" t="s">
        <v>241</v>
      </c>
      <c r="K7" s="2" t="s">
        <v>242</v>
      </c>
      <c r="L7" s="2"/>
      <c r="M7" s="2"/>
      <c r="N7" s="58" t="s">
        <v>238</v>
      </c>
      <c r="O7" s="2" t="s">
        <v>243</v>
      </c>
    </row>
    <row r="8" spans="1:15" x14ac:dyDescent="0.25">
      <c r="A8" s="57">
        <v>41899</v>
      </c>
      <c r="B8" s="22" t="s">
        <v>247</v>
      </c>
      <c r="C8" s="46" t="s">
        <v>237</v>
      </c>
      <c r="D8" s="2"/>
      <c r="E8" s="2" t="s">
        <v>238</v>
      </c>
      <c r="F8" s="2" t="s">
        <v>248</v>
      </c>
      <c r="G8" s="46"/>
      <c r="H8" s="57">
        <v>43367</v>
      </c>
      <c r="I8" s="22" t="s">
        <v>240</v>
      </c>
      <c r="J8" s="59">
        <v>17.600000000000001</v>
      </c>
      <c r="K8" s="60">
        <v>9.2999999999999999E-2</v>
      </c>
      <c r="L8" s="60"/>
      <c r="M8" s="60"/>
      <c r="N8" s="58" t="s">
        <v>238</v>
      </c>
      <c r="O8" s="2" t="s">
        <v>249</v>
      </c>
    </row>
    <row r="9" spans="1:15" x14ac:dyDescent="0.25">
      <c r="A9" s="57">
        <v>43126</v>
      </c>
      <c r="B9" s="22" t="s">
        <v>236</v>
      </c>
      <c r="C9" s="2">
        <v>75</v>
      </c>
      <c r="D9" s="2">
        <v>1</v>
      </c>
      <c r="E9" s="2" t="s">
        <v>238</v>
      </c>
      <c r="F9" s="2" t="s">
        <v>250</v>
      </c>
      <c r="G9" s="46"/>
      <c r="H9" s="57">
        <v>43367</v>
      </c>
      <c r="I9" s="22" t="s">
        <v>246</v>
      </c>
      <c r="J9" s="59">
        <v>23.2</v>
      </c>
      <c r="K9" s="59" t="s">
        <v>251</v>
      </c>
      <c r="L9" s="59"/>
      <c r="M9" s="59"/>
      <c r="N9" s="58" t="s">
        <v>238</v>
      </c>
      <c r="O9" s="2" t="s">
        <v>252</v>
      </c>
    </row>
    <row r="10" spans="1:15" x14ac:dyDescent="0.25">
      <c r="A10" s="57">
        <v>43349</v>
      </c>
      <c r="B10" s="22" t="s">
        <v>244</v>
      </c>
      <c r="C10" s="2">
        <v>78</v>
      </c>
      <c r="D10" s="2">
        <v>2</v>
      </c>
      <c r="E10" s="2" t="s">
        <v>238</v>
      </c>
      <c r="F10" s="2" t="s">
        <v>253</v>
      </c>
      <c r="G10" s="46"/>
      <c r="H10" s="57">
        <v>43573</v>
      </c>
      <c r="I10" s="22" t="s">
        <v>240</v>
      </c>
      <c r="J10" s="2">
        <v>1.4</v>
      </c>
      <c r="K10" s="2" t="s">
        <v>254</v>
      </c>
      <c r="L10" s="2"/>
      <c r="M10" s="2"/>
      <c r="N10" s="58" t="s">
        <v>238</v>
      </c>
      <c r="O10" s="2" t="s">
        <v>255</v>
      </c>
    </row>
    <row r="11" spans="1:15" x14ac:dyDescent="0.25">
      <c r="A11" s="57">
        <v>43126</v>
      </c>
      <c r="B11" s="22" t="s">
        <v>247</v>
      </c>
      <c r="C11" s="2">
        <v>68</v>
      </c>
      <c r="D11" s="2">
        <v>1</v>
      </c>
      <c r="E11" s="2" t="s">
        <v>238</v>
      </c>
      <c r="F11" s="2" t="s">
        <v>256</v>
      </c>
      <c r="G11" s="46"/>
      <c r="H11" s="57">
        <v>43573</v>
      </c>
      <c r="I11" s="22" t="s">
        <v>246</v>
      </c>
      <c r="J11" s="2">
        <v>0.7</v>
      </c>
      <c r="K11" s="2" t="s">
        <v>257</v>
      </c>
      <c r="L11" s="2"/>
      <c r="M11" s="2"/>
      <c r="N11" s="58" t="s">
        <v>238</v>
      </c>
      <c r="O11" s="2" t="s">
        <v>258</v>
      </c>
    </row>
    <row r="12" spans="1:15" x14ac:dyDescent="0.25">
      <c r="A12" s="57">
        <v>43882</v>
      </c>
      <c r="B12" s="22" t="s">
        <v>236</v>
      </c>
      <c r="C12" s="2">
        <v>88</v>
      </c>
      <c r="D12" s="2">
        <v>2</v>
      </c>
      <c r="E12" s="2" t="s">
        <v>238</v>
      </c>
      <c r="F12" s="2" t="s">
        <v>259</v>
      </c>
      <c r="G12" s="46"/>
      <c r="H12" s="57">
        <v>44663</v>
      </c>
      <c r="I12" s="22" t="s">
        <v>240</v>
      </c>
      <c r="J12" s="2">
        <v>3.8</v>
      </c>
      <c r="K12" s="2" t="s">
        <v>260</v>
      </c>
      <c r="L12" s="2"/>
      <c r="M12" s="2"/>
      <c r="N12" s="58" t="s">
        <v>238</v>
      </c>
      <c r="O12" s="2" t="s">
        <v>261</v>
      </c>
    </row>
    <row r="13" spans="1:15" x14ac:dyDescent="0.25">
      <c r="A13" s="57">
        <v>43882</v>
      </c>
      <c r="B13" s="22" t="s">
        <v>244</v>
      </c>
      <c r="C13" s="2">
        <v>93</v>
      </c>
      <c r="D13" s="2">
        <v>2</v>
      </c>
      <c r="E13" s="2" t="s">
        <v>238</v>
      </c>
      <c r="F13" s="2" t="s">
        <v>262</v>
      </c>
      <c r="G13" s="46"/>
      <c r="H13" s="57">
        <v>44663</v>
      </c>
      <c r="I13" s="22" t="s">
        <v>246</v>
      </c>
      <c r="J13" s="2">
        <v>3.4</v>
      </c>
      <c r="K13" s="2">
        <v>1.78E-2</v>
      </c>
      <c r="L13" s="2"/>
      <c r="M13" s="2"/>
      <c r="N13" s="58" t="s">
        <v>238</v>
      </c>
      <c r="O13" s="2" t="s">
        <v>263</v>
      </c>
    </row>
    <row r="14" spans="1:15" x14ac:dyDescent="0.25">
      <c r="A14" s="57">
        <v>43882</v>
      </c>
      <c r="B14" s="22" t="s">
        <v>247</v>
      </c>
      <c r="C14" s="2">
        <v>81</v>
      </c>
      <c r="D14" s="2">
        <v>5</v>
      </c>
      <c r="E14" s="2" t="s">
        <v>238</v>
      </c>
      <c r="F14" s="2" t="s">
        <v>264</v>
      </c>
      <c r="G14" s="46"/>
      <c r="H14" s="57">
        <v>45496</v>
      </c>
      <c r="I14" s="22" t="s">
        <v>240</v>
      </c>
      <c r="J14" s="2">
        <v>3.7</v>
      </c>
      <c r="K14" s="2">
        <v>2.1100000000000001E-2</v>
      </c>
      <c r="L14" s="2">
        <v>2.6</v>
      </c>
      <c r="M14" s="2">
        <v>1.47E-2</v>
      </c>
      <c r="N14" s="58" t="s">
        <v>238</v>
      </c>
      <c r="O14" s="2" t="s">
        <v>490</v>
      </c>
    </row>
    <row r="15" spans="1:15" x14ac:dyDescent="0.25">
      <c r="A15" s="57">
        <v>44984</v>
      </c>
      <c r="B15" s="22" t="s">
        <v>236</v>
      </c>
      <c r="C15" s="2">
        <v>57</v>
      </c>
      <c r="D15" s="2">
        <v>1</v>
      </c>
      <c r="E15" s="2" t="s">
        <v>238</v>
      </c>
      <c r="F15" s="2" t="s">
        <v>265</v>
      </c>
      <c r="G15" s="6"/>
      <c r="H15" s="57">
        <v>45496</v>
      </c>
      <c r="I15" s="22" t="s">
        <v>246</v>
      </c>
      <c r="J15" s="2">
        <v>2.4</v>
      </c>
      <c r="K15" s="2">
        <v>1.0500000000000001E-2</v>
      </c>
      <c r="L15" s="2">
        <v>1.9</v>
      </c>
      <c r="M15" s="2">
        <v>8.3000000000000001E-3</v>
      </c>
      <c r="N15" s="58" t="s">
        <v>238</v>
      </c>
      <c r="O15" s="2" t="s">
        <v>491</v>
      </c>
    </row>
    <row r="16" spans="1:15" x14ac:dyDescent="0.25">
      <c r="A16" s="57">
        <v>44984</v>
      </c>
      <c r="B16" s="2" t="s">
        <v>244</v>
      </c>
      <c r="C16" s="2">
        <v>69</v>
      </c>
      <c r="D16" s="2" t="s">
        <v>266</v>
      </c>
      <c r="E16" s="2" t="s">
        <v>238</v>
      </c>
      <c r="F16" s="2" t="s">
        <v>267</v>
      </c>
      <c r="G16" s="6"/>
      <c r="H16" s="6"/>
      <c r="I16" s="6"/>
      <c r="J16" s="6"/>
      <c r="K16" s="6"/>
      <c r="L16" s="6"/>
      <c r="M16" s="6"/>
      <c r="N16" s="6"/>
    </row>
    <row r="17" spans="1:6" x14ac:dyDescent="0.25">
      <c r="A17" s="57">
        <v>44984</v>
      </c>
      <c r="B17" s="2" t="s">
        <v>247</v>
      </c>
      <c r="C17" s="2">
        <v>57</v>
      </c>
      <c r="D17" s="2">
        <v>1</v>
      </c>
      <c r="E17" s="2" t="s">
        <v>238</v>
      </c>
      <c r="F17" s="2" t="s">
        <v>268</v>
      </c>
    </row>
    <row r="18" spans="1:6" x14ac:dyDescent="0.25">
      <c r="A18" s="57">
        <v>45496</v>
      </c>
      <c r="B18" s="22" t="s">
        <v>236</v>
      </c>
      <c r="C18" s="2">
        <v>67</v>
      </c>
      <c r="D18" s="2">
        <v>2</v>
      </c>
      <c r="E18" s="2" t="s">
        <v>238</v>
      </c>
      <c r="F18" s="2" t="s">
        <v>269</v>
      </c>
    </row>
    <row r="19" spans="1:6" x14ac:dyDescent="0.25">
      <c r="A19" s="57">
        <v>45496</v>
      </c>
      <c r="B19" s="2" t="s">
        <v>244</v>
      </c>
      <c r="C19" s="2">
        <v>71</v>
      </c>
      <c r="D19" s="2">
        <v>3</v>
      </c>
      <c r="E19" s="2" t="s">
        <v>238</v>
      </c>
      <c r="F19" s="2" t="s">
        <v>270</v>
      </c>
    </row>
    <row r="20" spans="1:6" x14ac:dyDescent="0.25">
      <c r="A20" s="57">
        <v>45496</v>
      </c>
      <c r="B20" s="2" t="s">
        <v>247</v>
      </c>
      <c r="C20" s="2">
        <v>70</v>
      </c>
      <c r="D20" s="2">
        <v>3</v>
      </c>
      <c r="E20" s="2" t="s">
        <v>238</v>
      </c>
      <c r="F20" s="2" t="s">
        <v>271</v>
      </c>
    </row>
  </sheetData>
  <pageMargins left="0.70866141732283472" right="0.70866141732283472" top="0.74803149606299213" bottom="0.74803149606299213" header="0" footer="0"/>
  <pageSetup paperSize="9" orientation="landscape"/>
  <headerFooter>
    <oddFooter>&amp;L&amp;A&amp;R&amp;F</oddFooter>
  </headerFooter>
  <tableParts count="2">
    <tablePart r:id="rId1"/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8D08D"/>
  </sheetPr>
  <dimension ref="A1:AF40"/>
  <sheetViews>
    <sheetView showGridLines="0" workbookViewId="0">
      <pane xSplit="3" ySplit="5" topLeftCell="M15" activePane="bottomRight" state="frozen"/>
      <selection pane="topRight" activeCell="D1" sqref="D1"/>
      <selection pane="bottomLeft" activeCell="A6" sqref="A6"/>
      <selection pane="bottomRight" activeCell="B39" sqref="B39"/>
    </sheetView>
  </sheetViews>
  <sheetFormatPr defaultColWidth="14.42578125" defaultRowHeight="15" customHeight="1" x14ac:dyDescent="0.25"/>
  <cols>
    <col min="1" max="2" width="20.7109375" customWidth="1"/>
    <col min="3" max="3" width="21.85546875" customWidth="1"/>
    <col min="4" max="9" width="20.7109375" customWidth="1"/>
    <col min="10" max="22" width="8.7109375" customWidth="1"/>
    <col min="23" max="23" width="10.28515625" customWidth="1"/>
    <col min="24" max="31" width="8.7109375" customWidth="1"/>
    <col min="32" max="32" width="27.28515625" customWidth="1"/>
  </cols>
  <sheetData>
    <row r="1" spans="1:32" x14ac:dyDescent="0.25">
      <c r="A1" s="1" t="s">
        <v>272</v>
      </c>
      <c r="B1" s="6"/>
      <c r="C1" s="6"/>
      <c r="D1" s="6"/>
      <c r="E1" s="6"/>
      <c r="F1" s="6"/>
      <c r="G1" s="6"/>
    </row>
    <row r="2" spans="1:32" x14ac:dyDescent="0.25">
      <c r="A2" s="6"/>
      <c r="B2" s="6"/>
      <c r="C2" s="6"/>
      <c r="D2" s="6"/>
      <c r="E2" s="6"/>
      <c r="F2" s="6"/>
      <c r="G2" s="6"/>
    </row>
    <row r="3" spans="1:32" x14ac:dyDescent="0.25">
      <c r="A3" s="1" t="s">
        <v>273</v>
      </c>
      <c r="B3" s="6"/>
      <c r="C3" s="6"/>
      <c r="D3" s="6"/>
      <c r="E3" s="6"/>
      <c r="F3" s="6"/>
      <c r="G3" s="6"/>
    </row>
    <row r="4" spans="1:32" ht="60" x14ac:dyDescent="0.25">
      <c r="A4" s="2" t="s">
        <v>275</v>
      </c>
      <c r="B4" s="2" t="s">
        <v>276</v>
      </c>
      <c r="C4" s="6" t="s">
        <v>277</v>
      </c>
      <c r="D4" s="2" t="s">
        <v>278</v>
      </c>
      <c r="E4" s="2" t="s">
        <v>279</v>
      </c>
      <c r="F4" s="2" t="s">
        <v>280</v>
      </c>
      <c r="G4" s="6" t="s">
        <v>281</v>
      </c>
      <c r="H4" s="6" t="s">
        <v>282</v>
      </c>
      <c r="I4" s="6" t="s">
        <v>283</v>
      </c>
      <c r="J4" s="6" t="s">
        <v>284</v>
      </c>
      <c r="K4" s="6" t="s">
        <v>285</v>
      </c>
      <c r="L4" s="6" t="s">
        <v>286</v>
      </c>
      <c r="M4" s="6" t="s">
        <v>287</v>
      </c>
      <c r="N4" s="6" t="s">
        <v>288</v>
      </c>
      <c r="O4" s="6" t="s">
        <v>289</v>
      </c>
      <c r="P4" s="6" t="s">
        <v>290</v>
      </c>
      <c r="Q4" s="6" t="s">
        <v>291</v>
      </c>
      <c r="R4" s="6" t="s">
        <v>292</v>
      </c>
      <c r="S4" s="6" t="s">
        <v>293</v>
      </c>
      <c r="T4" s="6" t="s">
        <v>294</v>
      </c>
      <c r="U4" s="6" t="s">
        <v>295</v>
      </c>
      <c r="V4" s="6" t="s">
        <v>296</v>
      </c>
      <c r="W4" s="6" t="s">
        <v>297</v>
      </c>
      <c r="X4" s="6" t="s">
        <v>298</v>
      </c>
      <c r="Y4" s="6" t="s">
        <v>299</v>
      </c>
      <c r="Z4" s="6" t="s">
        <v>300</v>
      </c>
      <c r="AA4" s="6" t="s">
        <v>301</v>
      </c>
      <c r="AB4" s="6" t="s">
        <v>302</v>
      </c>
      <c r="AC4" s="6" t="s">
        <v>303</v>
      </c>
      <c r="AD4" s="6" t="s">
        <v>304</v>
      </c>
      <c r="AE4" s="6" t="s">
        <v>305</v>
      </c>
      <c r="AF4" s="6" t="s">
        <v>306</v>
      </c>
    </row>
    <row r="5" spans="1:32" x14ac:dyDescent="0.25">
      <c r="A5" s="64" t="s">
        <v>314</v>
      </c>
      <c r="B5" s="65"/>
      <c r="C5" s="66"/>
      <c r="D5" s="67"/>
      <c r="E5" s="65" t="s">
        <v>315</v>
      </c>
      <c r="F5" s="68">
        <v>40</v>
      </c>
      <c r="G5" s="187">
        <v>500</v>
      </c>
      <c r="H5" s="187">
        <v>1000</v>
      </c>
      <c r="I5" s="187">
        <v>350</v>
      </c>
      <c r="J5" s="187">
        <v>95</v>
      </c>
      <c r="K5" s="187">
        <v>75</v>
      </c>
      <c r="L5" s="66">
        <v>0.6</v>
      </c>
      <c r="M5" s="66">
        <v>30</v>
      </c>
      <c r="N5" s="65"/>
      <c r="O5" s="65">
        <v>1200</v>
      </c>
      <c r="P5" s="65">
        <v>1000</v>
      </c>
      <c r="Q5" s="187">
        <v>15</v>
      </c>
      <c r="R5" s="66"/>
      <c r="S5" s="66"/>
      <c r="T5" s="66"/>
      <c r="U5" s="187">
        <v>0.1</v>
      </c>
      <c r="V5" s="187">
        <v>6</v>
      </c>
      <c r="W5" s="65">
        <v>0.1</v>
      </c>
      <c r="X5" s="187">
        <v>0.3</v>
      </c>
      <c r="Y5" s="66">
        <v>4</v>
      </c>
      <c r="Z5" s="187">
        <v>2</v>
      </c>
      <c r="AA5" s="65">
        <v>4</v>
      </c>
      <c r="AB5" s="187">
        <v>0.2</v>
      </c>
      <c r="AC5" s="65">
        <v>0.3</v>
      </c>
      <c r="AD5" s="65">
        <v>0.4</v>
      </c>
      <c r="AE5" s="187">
        <v>0.8</v>
      </c>
      <c r="AF5" s="69"/>
    </row>
    <row r="6" spans="1:32" x14ac:dyDescent="0.25">
      <c r="A6" s="73">
        <v>43529</v>
      </c>
      <c r="B6" s="74" t="s">
        <v>317</v>
      </c>
      <c r="C6" s="69" t="s">
        <v>318</v>
      </c>
      <c r="D6" s="75" t="s">
        <v>319</v>
      </c>
      <c r="E6" s="76">
        <v>6.9</v>
      </c>
      <c r="F6" s="69">
        <v>20</v>
      </c>
      <c r="G6" s="69">
        <v>239</v>
      </c>
      <c r="H6" s="69">
        <v>498</v>
      </c>
      <c r="I6" s="74">
        <v>193</v>
      </c>
      <c r="J6" s="76">
        <v>73.400000000000006</v>
      </c>
      <c r="K6" s="76">
        <v>59.8</v>
      </c>
      <c r="L6" s="76">
        <v>0.02</v>
      </c>
      <c r="M6" s="76">
        <v>1</v>
      </c>
      <c r="N6" s="69"/>
      <c r="O6" s="69">
        <v>503</v>
      </c>
      <c r="P6" s="69">
        <v>642</v>
      </c>
      <c r="Q6" s="76">
        <v>10.6</v>
      </c>
      <c r="R6" s="76">
        <v>0.52</v>
      </c>
      <c r="S6" s="76">
        <v>9</v>
      </c>
      <c r="T6" s="76">
        <v>1.1000000000000001</v>
      </c>
      <c r="U6" s="69">
        <v>0.05</v>
      </c>
      <c r="V6" s="69">
        <v>3.2</v>
      </c>
      <c r="W6" s="77">
        <v>2E-3</v>
      </c>
      <c r="X6" s="77">
        <v>0.17</v>
      </c>
      <c r="Y6" s="77">
        <v>0.72</v>
      </c>
      <c r="Z6" s="77">
        <v>1.8</v>
      </c>
      <c r="AA6" s="77">
        <v>0.1</v>
      </c>
      <c r="AB6" s="77">
        <v>0.1</v>
      </c>
      <c r="AC6" s="77">
        <v>0.01</v>
      </c>
      <c r="AD6" s="77">
        <v>0.03</v>
      </c>
      <c r="AE6" s="77">
        <v>0.44</v>
      </c>
      <c r="AF6" s="69"/>
    </row>
    <row r="7" spans="1:32" x14ac:dyDescent="0.25">
      <c r="A7" s="73">
        <v>43592</v>
      </c>
      <c r="B7" s="74" t="s">
        <v>317</v>
      </c>
      <c r="C7" s="69" t="s">
        <v>321</v>
      </c>
      <c r="D7" s="75" t="s">
        <v>319</v>
      </c>
      <c r="E7" s="76">
        <v>7</v>
      </c>
      <c r="F7" s="69">
        <v>100</v>
      </c>
      <c r="G7" s="69">
        <v>421</v>
      </c>
      <c r="H7" s="69">
        <v>725</v>
      </c>
      <c r="I7" s="74"/>
      <c r="J7" s="76">
        <v>93</v>
      </c>
      <c r="K7" s="76">
        <v>63.4</v>
      </c>
      <c r="L7" s="76">
        <v>0.02</v>
      </c>
      <c r="M7" s="76">
        <v>1</v>
      </c>
      <c r="N7" s="69"/>
      <c r="O7" s="69"/>
      <c r="P7" s="69"/>
      <c r="Q7" s="76">
        <v>3</v>
      </c>
      <c r="R7" s="76">
        <v>0.5</v>
      </c>
      <c r="S7" s="76">
        <v>1.4</v>
      </c>
      <c r="T7" s="76">
        <v>1.1000000000000001</v>
      </c>
      <c r="U7" s="69"/>
      <c r="V7" s="69"/>
      <c r="W7" s="77">
        <v>2E-3</v>
      </c>
      <c r="X7" s="77">
        <v>0.7</v>
      </c>
      <c r="Y7" s="77">
        <v>14.1</v>
      </c>
      <c r="Z7" s="77">
        <v>2.7</v>
      </c>
      <c r="AA7" s="77">
        <v>0.17</v>
      </c>
      <c r="AB7" s="77">
        <v>1.3</v>
      </c>
      <c r="AC7" s="77">
        <v>0.01</v>
      </c>
      <c r="AD7" s="77">
        <v>0.04</v>
      </c>
      <c r="AE7" s="77">
        <v>0.56000000000000005</v>
      </c>
      <c r="AF7" s="69"/>
    </row>
    <row r="8" spans="1:32" x14ac:dyDescent="0.25">
      <c r="A8" s="73">
        <v>43656</v>
      </c>
      <c r="B8" s="74" t="s">
        <v>317</v>
      </c>
      <c r="C8" s="69" t="s">
        <v>322</v>
      </c>
      <c r="D8" s="75" t="s">
        <v>319</v>
      </c>
      <c r="E8" s="76">
        <v>6.9</v>
      </c>
      <c r="F8" s="69">
        <v>20</v>
      </c>
      <c r="G8" s="69">
        <v>355</v>
      </c>
      <c r="H8" s="69">
        <v>1030</v>
      </c>
      <c r="I8" s="74"/>
      <c r="J8" s="76">
        <v>96</v>
      </c>
      <c r="K8" s="76">
        <v>43.2</v>
      </c>
      <c r="L8" s="76">
        <v>0.02</v>
      </c>
      <c r="M8" s="76">
        <v>1</v>
      </c>
      <c r="N8" s="69"/>
      <c r="O8" s="69"/>
      <c r="P8" s="69"/>
      <c r="Q8" s="76">
        <v>6.5</v>
      </c>
      <c r="R8" s="76">
        <v>1</v>
      </c>
      <c r="S8" s="76">
        <v>3.9</v>
      </c>
      <c r="T8" s="76">
        <v>1.6</v>
      </c>
      <c r="U8" s="69"/>
      <c r="V8" s="69"/>
      <c r="W8" s="77">
        <v>2E-3</v>
      </c>
      <c r="X8" s="77">
        <v>0.16</v>
      </c>
      <c r="Y8" s="77">
        <v>0.72</v>
      </c>
      <c r="Z8" s="77">
        <v>2.4</v>
      </c>
      <c r="AA8" s="77">
        <v>0.1</v>
      </c>
      <c r="AB8" s="77">
        <v>0.1</v>
      </c>
      <c r="AC8" s="77">
        <v>0.01</v>
      </c>
      <c r="AD8" s="77">
        <v>0.03</v>
      </c>
      <c r="AE8" s="77">
        <v>0.48</v>
      </c>
      <c r="AF8" s="69"/>
    </row>
    <row r="9" spans="1:32" x14ac:dyDescent="0.25">
      <c r="A9" s="73">
        <v>43748</v>
      </c>
      <c r="B9" s="74" t="s">
        <v>317</v>
      </c>
      <c r="C9" s="69" t="s">
        <v>323</v>
      </c>
      <c r="D9" s="75" t="s">
        <v>319</v>
      </c>
      <c r="E9" s="76">
        <v>7.1</v>
      </c>
      <c r="F9" s="69">
        <v>40</v>
      </c>
      <c r="G9" s="69">
        <v>310</v>
      </c>
      <c r="H9" s="69">
        <v>543</v>
      </c>
      <c r="I9" s="74"/>
      <c r="J9" s="76">
        <v>70</v>
      </c>
      <c r="K9" s="76">
        <v>45</v>
      </c>
      <c r="L9" s="76">
        <v>0.15</v>
      </c>
      <c r="M9" s="76">
        <v>1</v>
      </c>
      <c r="N9" s="69">
        <v>34.9</v>
      </c>
      <c r="O9" s="69"/>
      <c r="P9" s="69"/>
      <c r="Q9" s="76">
        <v>1.7</v>
      </c>
      <c r="R9" s="76">
        <v>1.2</v>
      </c>
      <c r="S9" s="76">
        <v>0.5</v>
      </c>
      <c r="T9" s="76">
        <v>0.52</v>
      </c>
      <c r="U9" s="69"/>
      <c r="V9" s="69"/>
      <c r="W9" s="77">
        <v>2E-3</v>
      </c>
      <c r="X9" s="77">
        <v>0.17</v>
      </c>
      <c r="Y9" s="77">
        <v>1.5</v>
      </c>
      <c r="Z9" s="77">
        <v>3.9</v>
      </c>
      <c r="AA9" s="77">
        <v>0.1</v>
      </c>
      <c r="AB9" s="77">
        <v>0.1</v>
      </c>
      <c r="AC9" s="77">
        <v>0.01</v>
      </c>
      <c r="AD9" s="77">
        <v>0.03</v>
      </c>
      <c r="AE9" s="77">
        <v>0.6</v>
      </c>
      <c r="AF9" s="69"/>
    </row>
    <row r="10" spans="1:32" x14ac:dyDescent="0.25">
      <c r="A10" s="73">
        <v>43893</v>
      </c>
      <c r="B10" s="69" t="s">
        <v>317</v>
      </c>
      <c r="C10" s="69" t="s">
        <v>331</v>
      </c>
      <c r="D10" s="75" t="s">
        <v>319</v>
      </c>
      <c r="E10" s="76">
        <v>7.2</v>
      </c>
      <c r="F10" s="69">
        <v>40</v>
      </c>
      <c r="G10" s="69">
        <v>373</v>
      </c>
      <c r="H10" s="69">
        <v>683</v>
      </c>
      <c r="I10" s="69"/>
      <c r="J10" s="76">
        <v>87.3</v>
      </c>
      <c r="K10" s="76">
        <v>63.2</v>
      </c>
      <c r="L10" s="76">
        <v>0.12</v>
      </c>
      <c r="M10" s="76">
        <v>1</v>
      </c>
      <c r="N10" s="69"/>
      <c r="O10" s="69"/>
      <c r="P10" s="69"/>
      <c r="Q10" s="76">
        <v>2.4</v>
      </c>
      <c r="R10" s="76">
        <v>0.5</v>
      </c>
      <c r="S10" s="76">
        <v>1.5</v>
      </c>
      <c r="T10" s="76">
        <v>0.93</v>
      </c>
      <c r="U10" s="69"/>
      <c r="V10" s="69"/>
      <c r="W10" s="77">
        <v>2E-3</v>
      </c>
      <c r="X10" s="77">
        <v>0.13</v>
      </c>
      <c r="Y10" s="77">
        <v>0.82</v>
      </c>
      <c r="Z10" s="77">
        <v>1.9</v>
      </c>
      <c r="AA10" s="77">
        <v>0.11</v>
      </c>
      <c r="AB10" s="77">
        <v>0.1</v>
      </c>
      <c r="AC10" s="77">
        <v>0.02</v>
      </c>
      <c r="AD10" s="77">
        <v>0.05</v>
      </c>
      <c r="AE10" s="77">
        <v>0.56999999999999995</v>
      </c>
      <c r="AF10" s="69"/>
    </row>
    <row r="11" spans="1:32" x14ac:dyDescent="0.25">
      <c r="A11" s="73">
        <v>44000</v>
      </c>
      <c r="B11" s="69" t="s">
        <v>317</v>
      </c>
      <c r="C11" s="69" t="s">
        <v>335</v>
      </c>
      <c r="D11" s="75" t="s">
        <v>319</v>
      </c>
      <c r="E11" s="76">
        <v>6.5</v>
      </c>
      <c r="F11" s="69">
        <v>40</v>
      </c>
      <c r="G11" s="69">
        <v>542</v>
      </c>
      <c r="H11" s="69">
        <v>812</v>
      </c>
      <c r="I11" s="69"/>
      <c r="J11" s="76">
        <v>110</v>
      </c>
      <c r="K11" s="76">
        <v>74.599999999999994</v>
      </c>
      <c r="L11" s="76">
        <v>0.02</v>
      </c>
      <c r="M11" s="76">
        <v>1</v>
      </c>
      <c r="N11" s="69"/>
      <c r="O11" s="69"/>
      <c r="P11" s="69"/>
      <c r="Q11" s="76">
        <v>4.9000000000000004</v>
      </c>
      <c r="R11" s="76">
        <v>0.5</v>
      </c>
      <c r="S11" s="76">
        <v>1.1000000000000001</v>
      </c>
      <c r="T11" s="76">
        <v>3.8</v>
      </c>
      <c r="U11" s="69"/>
      <c r="V11" s="69"/>
      <c r="W11" s="77">
        <v>2E-3</v>
      </c>
      <c r="X11" s="77">
        <v>0.17</v>
      </c>
      <c r="Y11" s="77">
        <v>5.8</v>
      </c>
      <c r="Z11" s="77">
        <v>3.2</v>
      </c>
      <c r="AA11" s="77">
        <v>0.19</v>
      </c>
      <c r="AB11" s="77">
        <v>0.27</v>
      </c>
      <c r="AC11" s="77">
        <v>0.02</v>
      </c>
      <c r="AD11" s="77">
        <v>0.05</v>
      </c>
      <c r="AE11" s="77">
        <v>0.51</v>
      </c>
      <c r="AF11" s="69"/>
    </row>
    <row r="12" spans="1:32" x14ac:dyDescent="0.25">
      <c r="A12" s="73">
        <v>44082</v>
      </c>
      <c r="B12" s="69" t="s">
        <v>317</v>
      </c>
      <c r="C12" s="69" t="s">
        <v>338</v>
      </c>
      <c r="D12" s="75" t="s">
        <v>319</v>
      </c>
      <c r="E12" s="76">
        <v>6.8</v>
      </c>
      <c r="F12" s="69">
        <v>40</v>
      </c>
      <c r="G12" s="69">
        <v>160</v>
      </c>
      <c r="H12" s="69">
        <v>671</v>
      </c>
      <c r="I12" s="69"/>
      <c r="J12" s="76">
        <v>65</v>
      </c>
      <c r="K12" s="76">
        <v>33.6</v>
      </c>
      <c r="L12" s="76">
        <v>0.02</v>
      </c>
      <c r="M12" s="76">
        <v>1</v>
      </c>
      <c r="N12" s="69"/>
      <c r="O12" s="69"/>
      <c r="P12" s="69"/>
      <c r="Q12" s="76">
        <v>7.2</v>
      </c>
      <c r="R12" s="76">
        <v>0.51</v>
      </c>
      <c r="S12" s="76">
        <v>3.6</v>
      </c>
      <c r="T12" s="76">
        <v>3.1</v>
      </c>
      <c r="U12" s="69"/>
      <c r="V12" s="69"/>
      <c r="W12" s="77">
        <v>2E-3</v>
      </c>
      <c r="X12" s="77">
        <v>0.1</v>
      </c>
      <c r="Y12" s="77">
        <v>0.71</v>
      </c>
      <c r="Z12" s="77">
        <v>1.8</v>
      </c>
      <c r="AA12" s="77">
        <v>0.11</v>
      </c>
      <c r="AB12" s="77">
        <v>0.1</v>
      </c>
      <c r="AC12" s="77">
        <v>0.02</v>
      </c>
      <c r="AD12" s="77">
        <v>0.05</v>
      </c>
      <c r="AE12" s="77">
        <v>0.27</v>
      </c>
      <c r="AF12" s="69"/>
    </row>
    <row r="13" spans="1:32" x14ac:dyDescent="0.25">
      <c r="A13" s="73">
        <v>44083</v>
      </c>
      <c r="B13" s="69" t="s">
        <v>317</v>
      </c>
      <c r="C13" s="69" t="s">
        <v>339</v>
      </c>
      <c r="D13" s="75" t="s">
        <v>319</v>
      </c>
      <c r="E13" s="76">
        <v>6.9</v>
      </c>
      <c r="F13" s="69">
        <v>80</v>
      </c>
      <c r="G13" s="69">
        <v>165</v>
      </c>
      <c r="H13" s="69">
        <v>623</v>
      </c>
      <c r="I13" s="69"/>
      <c r="J13" s="76">
        <v>63.3</v>
      </c>
      <c r="K13" s="76">
        <v>42.4</v>
      </c>
      <c r="L13" s="76">
        <v>0.02</v>
      </c>
      <c r="M13" s="76">
        <v>1</v>
      </c>
      <c r="N13" s="69"/>
      <c r="O13" s="69"/>
      <c r="P13" s="69"/>
      <c r="Q13" s="76">
        <v>5</v>
      </c>
      <c r="R13" s="76">
        <v>0.5</v>
      </c>
      <c r="S13" s="76">
        <v>1.4</v>
      </c>
      <c r="T13" s="76">
        <v>3.6</v>
      </c>
      <c r="U13" s="69"/>
      <c r="V13" s="69"/>
      <c r="W13" s="77">
        <v>2E-3</v>
      </c>
      <c r="X13" s="77">
        <v>0.1</v>
      </c>
      <c r="Y13" s="77">
        <v>0.75</v>
      </c>
      <c r="Z13" s="77">
        <v>1.6</v>
      </c>
      <c r="AA13" s="77">
        <v>0.1</v>
      </c>
      <c r="AB13" s="77">
        <v>0.1</v>
      </c>
      <c r="AC13" s="77">
        <v>0.02</v>
      </c>
      <c r="AD13" s="77">
        <v>0.05</v>
      </c>
      <c r="AE13" s="77">
        <v>0.17</v>
      </c>
      <c r="AF13" s="69"/>
    </row>
    <row r="14" spans="1:32" x14ac:dyDescent="0.25">
      <c r="A14" s="73">
        <v>44085</v>
      </c>
      <c r="B14" s="69" t="s">
        <v>317</v>
      </c>
      <c r="C14" s="69" t="s">
        <v>340</v>
      </c>
      <c r="D14" s="75" t="s">
        <v>319</v>
      </c>
      <c r="E14" s="76">
        <v>7.1</v>
      </c>
      <c r="F14" s="69">
        <v>80</v>
      </c>
      <c r="G14" s="69">
        <v>92</v>
      </c>
      <c r="H14" s="69">
        <v>403</v>
      </c>
      <c r="I14" s="69"/>
      <c r="J14" s="76">
        <v>63.4</v>
      </c>
      <c r="K14" s="76">
        <v>49.6</v>
      </c>
      <c r="L14" s="76">
        <v>0.37</v>
      </c>
      <c r="M14" s="76">
        <v>1</v>
      </c>
      <c r="N14" s="69"/>
      <c r="O14" s="69"/>
      <c r="P14" s="69"/>
      <c r="Q14" s="76">
        <v>3.7</v>
      </c>
      <c r="R14" s="76">
        <v>2.2999999999999998</v>
      </c>
      <c r="S14" s="76">
        <v>1</v>
      </c>
      <c r="T14" s="76">
        <v>0.42</v>
      </c>
      <c r="U14" s="69"/>
      <c r="V14" s="69"/>
      <c r="W14" s="77">
        <v>2E-3</v>
      </c>
      <c r="X14" s="77">
        <v>0.1</v>
      </c>
      <c r="Y14" s="77">
        <v>0.57999999999999996</v>
      </c>
      <c r="Z14" s="77">
        <v>1.8</v>
      </c>
      <c r="AA14" s="77">
        <v>0.1</v>
      </c>
      <c r="AB14" s="77">
        <v>0.1</v>
      </c>
      <c r="AC14" s="77">
        <v>0.02</v>
      </c>
      <c r="AD14" s="77">
        <v>0.05</v>
      </c>
      <c r="AE14" s="77">
        <v>0.18</v>
      </c>
      <c r="AF14" s="69" t="s">
        <v>341</v>
      </c>
    </row>
    <row r="15" spans="1:32" x14ac:dyDescent="0.25">
      <c r="A15" s="73">
        <v>44266</v>
      </c>
      <c r="B15" s="69" t="s">
        <v>342</v>
      </c>
      <c r="C15" s="69">
        <v>1110085</v>
      </c>
      <c r="D15" s="75" t="s">
        <v>319</v>
      </c>
      <c r="E15" s="76">
        <v>7.8</v>
      </c>
      <c r="F15" s="69">
        <v>99</v>
      </c>
      <c r="G15" s="69">
        <v>220</v>
      </c>
      <c r="H15" s="69">
        <v>300</v>
      </c>
      <c r="I15" s="69"/>
      <c r="J15" s="76">
        <v>80</v>
      </c>
      <c r="K15" s="76">
        <v>59</v>
      </c>
      <c r="L15" s="76">
        <v>0.1</v>
      </c>
      <c r="M15" s="76">
        <v>0.28999999999999998</v>
      </c>
      <c r="N15" s="69"/>
      <c r="O15" s="69"/>
      <c r="P15" s="69"/>
      <c r="Q15" s="76">
        <v>5.7</v>
      </c>
      <c r="R15" s="76">
        <v>2.4</v>
      </c>
      <c r="S15" s="76">
        <v>5.7</v>
      </c>
      <c r="T15" s="76">
        <v>7.3999999999999996E-2</v>
      </c>
      <c r="U15" s="69"/>
      <c r="V15" s="69"/>
      <c r="W15" s="79">
        <v>7.4999999999999993E-5</v>
      </c>
      <c r="X15" s="77">
        <v>5.8000000000000003E-2</v>
      </c>
      <c r="Y15" s="77">
        <v>0.65</v>
      </c>
      <c r="Z15" s="77">
        <v>2.2999999999999998</v>
      </c>
      <c r="AA15" s="77">
        <v>6.8000000000000005E-2</v>
      </c>
      <c r="AB15" s="77">
        <v>8.3999999999999995E-3</v>
      </c>
      <c r="AC15" s="77">
        <v>8.7000000000000001E-4</v>
      </c>
      <c r="AD15" s="77">
        <v>0.04</v>
      </c>
      <c r="AE15" s="77">
        <v>0.28000000000000003</v>
      </c>
      <c r="AF15" s="69" t="s">
        <v>343</v>
      </c>
    </row>
    <row r="16" spans="1:32" x14ac:dyDescent="0.25">
      <c r="A16" s="73">
        <v>44328</v>
      </c>
      <c r="B16" s="69" t="s">
        <v>342</v>
      </c>
      <c r="C16" s="69">
        <v>1120730</v>
      </c>
      <c r="D16" s="75" t="s">
        <v>319</v>
      </c>
      <c r="E16" s="76">
        <v>7.6</v>
      </c>
      <c r="F16" s="69">
        <v>19</v>
      </c>
      <c r="G16" s="69">
        <v>440</v>
      </c>
      <c r="H16" s="69">
        <v>140</v>
      </c>
      <c r="I16" s="69"/>
      <c r="J16" s="76">
        <v>79</v>
      </c>
      <c r="K16" s="76">
        <v>62</v>
      </c>
      <c r="L16" s="76">
        <v>0.03</v>
      </c>
      <c r="M16" s="76">
        <v>0.28999999999999998</v>
      </c>
      <c r="N16" s="69"/>
      <c r="O16" s="69"/>
      <c r="P16" s="69"/>
      <c r="Q16" s="76">
        <v>3.6</v>
      </c>
      <c r="R16" s="76">
        <v>1.4</v>
      </c>
      <c r="S16" s="76">
        <v>2.2000000000000002</v>
      </c>
      <c r="T16" s="76">
        <v>0.37</v>
      </c>
      <c r="U16" s="69"/>
      <c r="V16" s="69"/>
      <c r="W16" s="79">
        <v>1E-4</v>
      </c>
      <c r="X16" s="77">
        <v>8.3000000000000004E-2</v>
      </c>
      <c r="Y16" s="77">
        <v>1.2</v>
      </c>
      <c r="Z16" s="77">
        <v>2.5</v>
      </c>
      <c r="AA16" s="77">
        <v>6.3E-2</v>
      </c>
      <c r="AB16" s="77">
        <v>2.5999999999999999E-2</v>
      </c>
      <c r="AC16" s="77">
        <v>2.0999999999999999E-3</v>
      </c>
      <c r="AD16" s="77">
        <v>3.5000000000000003E-2</v>
      </c>
      <c r="AE16" s="77">
        <v>0.47</v>
      </c>
      <c r="AF16" s="69"/>
    </row>
    <row r="17" spans="1:32" x14ac:dyDescent="0.25">
      <c r="A17" s="73">
        <v>44378</v>
      </c>
      <c r="B17" s="69" t="s">
        <v>342</v>
      </c>
      <c r="C17" s="69">
        <v>1126188</v>
      </c>
      <c r="D17" s="75" t="s">
        <v>319</v>
      </c>
      <c r="E17" s="76">
        <v>7.5</v>
      </c>
      <c r="F17" s="69">
        <v>9</v>
      </c>
      <c r="G17" s="69">
        <v>350</v>
      </c>
      <c r="H17" s="69">
        <v>580</v>
      </c>
      <c r="I17" s="69"/>
      <c r="J17" s="76">
        <v>100</v>
      </c>
      <c r="K17" s="76">
        <v>110</v>
      </c>
      <c r="L17" s="76">
        <v>0.03</v>
      </c>
      <c r="M17" s="76">
        <v>8.1</v>
      </c>
      <c r="N17" s="69"/>
      <c r="O17" s="69"/>
      <c r="P17" s="69"/>
      <c r="Q17" s="76">
        <v>4.5999999999999996</v>
      </c>
      <c r="R17" s="76">
        <v>0.3</v>
      </c>
      <c r="S17" s="76">
        <v>4.3</v>
      </c>
      <c r="T17" s="76">
        <v>0.15</v>
      </c>
      <c r="U17" s="69"/>
      <c r="V17" s="69"/>
      <c r="W17" s="79">
        <v>7.4999999999999993E-5</v>
      </c>
      <c r="X17" s="77">
        <v>3.9E-2</v>
      </c>
      <c r="Y17" s="77">
        <v>0.46</v>
      </c>
      <c r="Z17" s="77">
        <v>2.7</v>
      </c>
      <c r="AA17" s="77">
        <v>6.0999999999999999E-2</v>
      </c>
      <c r="AB17" s="77">
        <v>4.1000000000000003E-3</v>
      </c>
      <c r="AC17" s="77">
        <v>9.7000000000000005E-4</v>
      </c>
      <c r="AD17" s="77">
        <v>1.4999999999999999E-2</v>
      </c>
      <c r="AE17" s="77">
        <v>0.28000000000000003</v>
      </c>
      <c r="AF17" s="69"/>
    </row>
    <row r="18" spans="1:32" x14ac:dyDescent="0.25">
      <c r="A18" s="73">
        <v>44449</v>
      </c>
      <c r="B18" s="69" t="s">
        <v>342</v>
      </c>
      <c r="C18" s="69">
        <v>1136303</v>
      </c>
      <c r="D18" s="75" t="s">
        <v>319</v>
      </c>
      <c r="E18" s="76">
        <v>7.7</v>
      </c>
      <c r="F18" s="69">
        <v>9</v>
      </c>
      <c r="G18" s="69">
        <v>190</v>
      </c>
      <c r="H18" s="69">
        <v>840</v>
      </c>
      <c r="I18" s="69"/>
      <c r="J18" s="76">
        <v>77</v>
      </c>
      <c r="K18" s="76">
        <v>61</v>
      </c>
      <c r="L18" s="76">
        <v>0.03</v>
      </c>
      <c r="M18" s="76">
        <v>0.28999999999999998</v>
      </c>
      <c r="N18" s="69"/>
      <c r="O18" s="69"/>
      <c r="P18" s="69"/>
      <c r="Q18" s="76">
        <v>0.74</v>
      </c>
      <c r="R18" s="76">
        <v>0.47</v>
      </c>
      <c r="S18" s="76">
        <v>0.65</v>
      </c>
      <c r="T18" s="76">
        <v>0.74</v>
      </c>
      <c r="U18" s="69"/>
      <c r="V18" s="69"/>
      <c r="W18" s="79">
        <v>7.7999999999999999E-5</v>
      </c>
      <c r="X18" s="77">
        <v>0.06</v>
      </c>
      <c r="Y18" s="77">
        <v>0.69</v>
      </c>
      <c r="Z18" s="77">
        <v>1.9</v>
      </c>
      <c r="AA18" s="77">
        <v>8.8999999999999996E-2</v>
      </c>
      <c r="AB18" s="77">
        <v>6.3E-3</v>
      </c>
      <c r="AC18" s="77">
        <v>1.8E-3</v>
      </c>
      <c r="AD18" s="77">
        <v>3.7999999999999999E-2</v>
      </c>
      <c r="AE18" s="77">
        <v>0.36</v>
      </c>
      <c r="AF18" s="69"/>
    </row>
    <row r="19" spans="1:32" x14ac:dyDescent="0.25">
      <c r="A19" s="73">
        <v>44631</v>
      </c>
      <c r="B19" s="69" t="s">
        <v>342</v>
      </c>
      <c r="C19" s="69">
        <v>1151712</v>
      </c>
      <c r="D19" s="75" t="s">
        <v>319</v>
      </c>
      <c r="E19" s="76">
        <v>6.9</v>
      </c>
      <c r="F19" s="69">
        <v>39</v>
      </c>
      <c r="G19" s="69">
        <v>330</v>
      </c>
      <c r="H19" s="69">
        <v>620</v>
      </c>
      <c r="I19" s="69"/>
      <c r="J19" s="76">
        <v>56</v>
      </c>
      <c r="K19" s="76">
        <v>40</v>
      </c>
      <c r="L19" s="76">
        <v>0.19</v>
      </c>
      <c r="M19" s="76">
        <v>0.28999999999999998</v>
      </c>
      <c r="N19" s="69"/>
      <c r="O19" s="69"/>
      <c r="P19" s="69"/>
      <c r="Q19" s="76">
        <v>1.9</v>
      </c>
      <c r="R19" s="76">
        <v>0.56999999999999995</v>
      </c>
      <c r="S19" s="76">
        <v>1.3</v>
      </c>
      <c r="T19" s="76">
        <v>0.15</v>
      </c>
      <c r="U19" s="69"/>
      <c r="V19" s="69"/>
      <c r="W19" s="79">
        <v>7.4999999999999993E-5</v>
      </c>
      <c r="X19" s="77">
        <v>7.4999999999999997E-2</v>
      </c>
      <c r="Y19" s="77">
        <v>0.46</v>
      </c>
      <c r="Z19" s="77">
        <v>1.5</v>
      </c>
      <c r="AA19" s="77">
        <v>7.5999999999999998E-2</v>
      </c>
      <c r="AB19" s="77">
        <v>3.8999999999999998E-3</v>
      </c>
      <c r="AC19" s="77">
        <v>1E-3</v>
      </c>
      <c r="AD19" s="77">
        <v>0.02</v>
      </c>
      <c r="AE19" s="77">
        <v>0.31</v>
      </c>
      <c r="AF19" s="69" t="s">
        <v>343</v>
      </c>
    </row>
    <row r="20" spans="1:32" x14ac:dyDescent="0.25">
      <c r="A20" s="73">
        <v>44680</v>
      </c>
      <c r="B20" s="69" t="s">
        <v>342</v>
      </c>
      <c r="C20" s="69">
        <v>1155506</v>
      </c>
      <c r="D20" s="75" t="s">
        <v>319</v>
      </c>
      <c r="E20" s="76">
        <v>7.4</v>
      </c>
      <c r="F20" s="69">
        <v>79</v>
      </c>
      <c r="G20" s="69">
        <v>280</v>
      </c>
      <c r="H20" s="69">
        <v>120</v>
      </c>
      <c r="I20" s="69">
        <v>31</v>
      </c>
      <c r="J20" s="76">
        <v>54</v>
      </c>
      <c r="K20" s="76">
        <v>68</v>
      </c>
      <c r="L20" s="76">
        <v>0.03</v>
      </c>
      <c r="M20" s="76">
        <v>0.28999999999999998</v>
      </c>
      <c r="N20" s="69"/>
      <c r="O20" s="69"/>
      <c r="P20" s="69"/>
      <c r="Q20" s="76">
        <v>1.5</v>
      </c>
      <c r="R20" s="76">
        <v>0.15</v>
      </c>
      <c r="S20" s="76">
        <v>1.3</v>
      </c>
      <c r="T20" s="76">
        <v>0.37</v>
      </c>
      <c r="U20" s="69"/>
      <c r="V20" s="69"/>
      <c r="W20" s="79">
        <v>7.4999999999999993E-5</v>
      </c>
      <c r="X20" s="77">
        <v>9.6000000000000002E-2</v>
      </c>
      <c r="Y20" s="77">
        <v>0.65</v>
      </c>
      <c r="Z20" s="77">
        <v>1.8</v>
      </c>
      <c r="AA20" s="77">
        <v>7.9000000000000001E-2</v>
      </c>
      <c r="AB20" s="77">
        <v>4.1000000000000003E-3</v>
      </c>
      <c r="AC20" s="77">
        <v>1.1999999999999999E-3</v>
      </c>
      <c r="AD20" s="77">
        <v>4.1000000000000002E-2</v>
      </c>
      <c r="AE20" s="77">
        <v>0.36</v>
      </c>
      <c r="AF20" s="69"/>
    </row>
    <row r="21" spans="1:32" ht="15.75" customHeight="1" x14ac:dyDescent="0.25">
      <c r="A21" s="73">
        <v>44736</v>
      </c>
      <c r="B21" s="69" t="s">
        <v>342</v>
      </c>
      <c r="C21" s="69">
        <v>1160454</v>
      </c>
      <c r="D21" s="75" t="s">
        <v>319</v>
      </c>
      <c r="E21" s="76">
        <v>7.4</v>
      </c>
      <c r="F21" s="69">
        <v>79</v>
      </c>
      <c r="G21" s="69">
        <v>540</v>
      </c>
      <c r="H21" s="69">
        <v>800</v>
      </c>
      <c r="I21" s="69"/>
      <c r="J21" s="76">
        <v>75</v>
      </c>
      <c r="K21" s="76">
        <v>41</v>
      </c>
      <c r="L21" s="76">
        <v>0.03</v>
      </c>
      <c r="M21" s="76">
        <v>0.28999999999999998</v>
      </c>
      <c r="N21" s="69"/>
      <c r="O21" s="69"/>
      <c r="P21" s="69">
        <v>710</v>
      </c>
      <c r="Q21" s="76">
        <v>1.7</v>
      </c>
      <c r="R21" s="76">
        <v>0.24</v>
      </c>
      <c r="S21" s="76">
        <v>1.7</v>
      </c>
      <c r="T21" s="76">
        <v>0.37</v>
      </c>
      <c r="U21" s="69"/>
      <c r="V21" s="69"/>
      <c r="W21" s="79">
        <v>8.5000000000000006E-5</v>
      </c>
      <c r="X21" s="77">
        <v>6.8000000000000005E-2</v>
      </c>
      <c r="Y21" s="77">
        <v>0.45</v>
      </c>
      <c r="Z21" s="77">
        <v>2.2999999999999998</v>
      </c>
      <c r="AA21" s="77">
        <v>6.7000000000000004E-2</v>
      </c>
      <c r="AB21" s="77">
        <v>6.4999999999999997E-3</v>
      </c>
      <c r="AC21" s="77">
        <v>1E-3</v>
      </c>
      <c r="AD21" s="77">
        <v>4.9000000000000002E-2</v>
      </c>
      <c r="AE21" s="77">
        <v>0.4</v>
      </c>
      <c r="AF21" s="69"/>
    </row>
    <row r="22" spans="1:32" ht="15.75" customHeight="1" x14ac:dyDescent="0.25">
      <c r="A22" s="73">
        <v>44834</v>
      </c>
      <c r="B22" s="69" t="s">
        <v>342</v>
      </c>
      <c r="C22" s="69">
        <v>1165410</v>
      </c>
      <c r="D22" s="75" t="s">
        <v>319</v>
      </c>
      <c r="E22" s="76">
        <v>6.7</v>
      </c>
      <c r="F22" s="69">
        <v>39</v>
      </c>
      <c r="G22" s="69">
        <v>380</v>
      </c>
      <c r="H22" s="69">
        <v>910</v>
      </c>
      <c r="I22" s="69"/>
      <c r="J22" s="76">
        <v>87</v>
      </c>
      <c r="K22" s="76">
        <v>45</v>
      </c>
      <c r="L22" s="76">
        <v>0.03</v>
      </c>
      <c r="M22" s="76">
        <v>0.28999999999999998</v>
      </c>
      <c r="N22" s="69"/>
      <c r="O22" s="69"/>
      <c r="P22" s="69"/>
      <c r="Q22" s="76">
        <v>25</v>
      </c>
      <c r="R22" s="69">
        <v>0.24</v>
      </c>
      <c r="S22" s="76">
        <v>25</v>
      </c>
      <c r="T22" s="69">
        <v>0.37</v>
      </c>
      <c r="U22" s="69"/>
      <c r="V22" s="69"/>
      <c r="W22" s="79">
        <v>1E-4</v>
      </c>
      <c r="X22" s="77">
        <v>9.0999999999999998E-2</v>
      </c>
      <c r="Y22" s="77">
        <v>0.98</v>
      </c>
      <c r="Z22" s="77">
        <v>2.2999999999999998</v>
      </c>
      <c r="AA22" s="77">
        <v>7.6999999999999999E-2</v>
      </c>
      <c r="AB22" s="77">
        <v>8.0000000000000002E-3</v>
      </c>
      <c r="AC22" s="77">
        <v>2.8E-3</v>
      </c>
      <c r="AD22" s="77">
        <v>5.3999999999999999E-2</v>
      </c>
      <c r="AE22" s="77">
        <v>0.83</v>
      </c>
      <c r="AF22" s="69"/>
    </row>
    <row r="23" spans="1:32" ht="15.75" customHeight="1" x14ac:dyDescent="0.25">
      <c r="A23" s="73">
        <v>44938</v>
      </c>
      <c r="B23" s="69" t="s">
        <v>342</v>
      </c>
      <c r="C23" s="69" t="s">
        <v>344</v>
      </c>
      <c r="D23" s="75" t="s">
        <v>319</v>
      </c>
      <c r="E23" s="76">
        <v>6.93</v>
      </c>
      <c r="F23" s="69">
        <v>200</v>
      </c>
      <c r="G23" s="69">
        <v>265</v>
      </c>
      <c r="H23" s="69">
        <v>854</v>
      </c>
      <c r="I23" s="69"/>
      <c r="J23" s="76">
        <v>54.4</v>
      </c>
      <c r="K23" s="76">
        <v>34.799999999999997</v>
      </c>
      <c r="L23" s="69">
        <v>3.5000000000000003E-2</v>
      </c>
      <c r="M23" s="69">
        <v>0.43</v>
      </c>
      <c r="N23" s="69"/>
      <c r="O23" s="69"/>
      <c r="P23" s="69"/>
      <c r="Q23" s="69"/>
      <c r="R23" s="69"/>
      <c r="S23" s="69"/>
      <c r="T23" s="69"/>
      <c r="U23" s="69"/>
      <c r="V23" s="69"/>
      <c r="W23" s="79">
        <v>9.2999999999999997E-5</v>
      </c>
      <c r="X23" s="77">
        <v>7.8E-2</v>
      </c>
      <c r="Y23" s="77">
        <v>0.63</v>
      </c>
      <c r="Z23" s="77">
        <v>1.77</v>
      </c>
      <c r="AA23" s="77">
        <v>7.0000000000000007E-2</v>
      </c>
      <c r="AB23" s="77">
        <v>6.4000000000000003E-3</v>
      </c>
      <c r="AC23" s="77">
        <v>1.58E-3</v>
      </c>
      <c r="AD23" s="77">
        <v>2.35E-2</v>
      </c>
      <c r="AE23" s="77">
        <v>0.34200000000000003</v>
      </c>
      <c r="AF23" s="69"/>
    </row>
    <row r="24" spans="1:32" ht="15.75" customHeight="1" x14ac:dyDescent="0.25">
      <c r="A24" s="73">
        <v>45008</v>
      </c>
      <c r="B24" s="69" t="s">
        <v>342</v>
      </c>
      <c r="C24" s="69" t="s">
        <v>345</v>
      </c>
      <c r="D24" s="75" t="s">
        <v>319</v>
      </c>
      <c r="E24" s="76">
        <v>7.29</v>
      </c>
      <c r="F24" s="74">
        <v>200</v>
      </c>
      <c r="G24" s="69">
        <v>360</v>
      </c>
      <c r="H24" s="69">
        <v>596</v>
      </c>
      <c r="I24" s="69"/>
      <c r="J24" s="76">
        <v>91.011700000000005</v>
      </c>
      <c r="K24" s="76">
        <v>90</v>
      </c>
      <c r="L24" s="76">
        <v>8.5999999999999993E-2</v>
      </c>
      <c r="M24" s="76">
        <v>1.17E-2</v>
      </c>
      <c r="N24" s="69"/>
      <c r="O24" s="69"/>
      <c r="P24" s="69"/>
      <c r="Q24" s="69">
        <v>4.32</v>
      </c>
      <c r="R24" s="69">
        <v>0.75</v>
      </c>
      <c r="S24" s="69">
        <v>3.57</v>
      </c>
      <c r="T24" s="69">
        <v>7.2999999999999995E-2</v>
      </c>
      <c r="U24" s="69"/>
      <c r="V24" s="69"/>
      <c r="W24" s="79">
        <v>7.4999999999999993E-5</v>
      </c>
      <c r="X24" s="77">
        <v>0.114</v>
      </c>
      <c r="Y24" s="77">
        <v>0.54</v>
      </c>
      <c r="Z24" s="77">
        <v>2.12</v>
      </c>
      <c r="AA24" s="77">
        <v>7.9000000000000001E-2</v>
      </c>
      <c r="AB24" s="77">
        <v>2.9099999999999998E-3</v>
      </c>
      <c r="AC24" s="77">
        <v>1.41E-3</v>
      </c>
      <c r="AD24" s="77">
        <v>2.5499999999999998E-2</v>
      </c>
      <c r="AE24" s="77">
        <v>0.30599999999999999</v>
      </c>
      <c r="AF24" s="69"/>
    </row>
    <row r="25" spans="1:32" ht="15.75" customHeight="1" x14ac:dyDescent="0.25">
      <c r="A25" s="73">
        <v>45043</v>
      </c>
      <c r="B25" s="69" t="s">
        <v>238</v>
      </c>
      <c r="C25" s="69" t="s">
        <v>346</v>
      </c>
      <c r="D25" s="75" t="s">
        <v>319</v>
      </c>
      <c r="E25" s="69"/>
      <c r="F25" s="74">
        <v>40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77"/>
      <c r="Y25" s="77"/>
      <c r="Z25" s="77"/>
      <c r="AA25" s="77"/>
      <c r="AB25" s="77"/>
      <c r="AC25" s="77"/>
      <c r="AD25" s="77"/>
      <c r="AE25" s="77"/>
      <c r="AF25" s="69" t="s">
        <v>347</v>
      </c>
    </row>
    <row r="26" spans="1:32" ht="15.75" customHeight="1" x14ac:dyDescent="0.25">
      <c r="A26" s="73">
        <v>45071</v>
      </c>
      <c r="B26" s="69" t="s">
        <v>238</v>
      </c>
      <c r="C26" s="69" t="s">
        <v>348</v>
      </c>
      <c r="D26" s="75" t="s">
        <v>319</v>
      </c>
      <c r="E26" s="69"/>
      <c r="F26" s="74"/>
      <c r="G26" s="69"/>
      <c r="H26" s="69"/>
      <c r="I26" s="69"/>
      <c r="J26" s="69"/>
      <c r="K26" s="76">
        <v>34.700000000000003</v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77"/>
      <c r="Y26" s="77"/>
      <c r="Z26" s="77"/>
      <c r="AA26" s="77"/>
      <c r="AB26" s="77"/>
      <c r="AC26" s="77"/>
      <c r="AD26" s="77"/>
      <c r="AE26" s="77"/>
      <c r="AF26" s="69" t="s">
        <v>347</v>
      </c>
    </row>
    <row r="27" spans="1:32" ht="15.75" customHeight="1" x14ac:dyDescent="0.25">
      <c r="A27" s="73">
        <v>45083</v>
      </c>
      <c r="B27" s="69" t="s">
        <v>342</v>
      </c>
      <c r="C27" s="69" t="s">
        <v>349</v>
      </c>
      <c r="D27" s="75" t="s">
        <v>319</v>
      </c>
      <c r="E27" s="76">
        <v>7.32</v>
      </c>
      <c r="F27" s="69">
        <v>20</v>
      </c>
      <c r="G27" s="69">
        <v>260</v>
      </c>
      <c r="H27" s="69">
        <v>434</v>
      </c>
      <c r="I27" s="69"/>
      <c r="J27" s="76">
        <v>59.593000000000004</v>
      </c>
      <c r="K27" s="76">
        <v>66</v>
      </c>
      <c r="L27" s="76">
        <v>9.2999999999999999E-2</v>
      </c>
      <c r="M27" s="69">
        <v>0.43</v>
      </c>
      <c r="N27" s="69"/>
      <c r="O27" s="69"/>
      <c r="P27" s="69"/>
      <c r="Q27" s="69">
        <v>3.28</v>
      </c>
      <c r="R27" s="69">
        <v>1.05</v>
      </c>
      <c r="S27" s="69">
        <v>2.23</v>
      </c>
      <c r="T27" s="69">
        <v>7.2999999999999995E-2</v>
      </c>
      <c r="U27" s="69"/>
      <c r="V27" s="69"/>
      <c r="W27" s="79">
        <v>7.4999999999999993E-5</v>
      </c>
      <c r="X27" s="77">
        <v>4.6399999999999997E-2</v>
      </c>
      <c r="Y27" s="77">
        <v>0.33500000000000002</v>
      </c>
      <c r="Z27" s="77">
        <v>1.22</v>
      </c>
      <c r="AA27" s="77">
        <v>4.9399999999999999E-2</v>
      </c>
      <c r="AB27" s="77">
        <v>3.2399999999999998E-3</v>
      </c>
      <c r="AC27" s="77">
        <v>1.2700000000000001E-3</v>
      </c>
      <c r="AD27" s="77">
        <v>1.32E-2</v>
      </c>
      <c r="AE27" s="77">
        <v>0.24299999999999999</v>
      </c>
      <c r="AF27" s="69"/>
    </row>
    <row r="28" spans="1:32" ht="15.75" customHeight="1" x14ac:dyDescent="0.25">
      <c r="A28" s="73">
        <v>45196</v>
      </c>
      <c r="B28" s="69" t="s">
        <v>342</v>
      </c>
      <c r="C28" s="69" t="s">
        <v>350</v>
      </c>
      <c r="D28" s="75" t="s">
        <v>319</v>
      </c>
      <c r="E28" s="76">
        <v>7.15</v>
      </c>
      <c r="F28" s="69">
        <v>100</v>
      </c>
      <c r="G28" s="69">
        <v>140</v>
      </c>
      <c r="H28" s="69">
        <v>435</v>
      </c>
      <c r="I28" s="69"/>
      <c r="J28" s="76">
        <v>50.6</v>
      </c>
      <c r="K28" s="76">
        <v>43.2</v>
      </c>
      <c r="L28" s="76">
        <v>3.5000000000000001E-3</v>
      </c>
      <c r="M28" s="76">
        <v>4.2999999999999997E-2</v>
      </c>
      <c r="N28" s="69"/>
      <c r="O28" s="69"/>
      <c r="P28" s="69"/>
      <c r="Q28" s="69">
        <v>4.03</v>
      </c>
      <c r="R28" s="69">
        <v>0.85</v>
      </c>
      <c r="S28" s="69">
        <v>3.18</v>
      </c>
      <c r="T28" s="69">
        <v>0.37</v>
      </c>
      <c r="U28" s="69"/>
      <c r="V28" s="69"/>
      <c r="W28" s="79">
        <v>8.0000000000000007E-5</v>
      </c>
      <c r="X28" s="77">
        <v>3.9699999999999999E-2</v>
      </c>
      <c r="Y28" s="77">
        <v>0.46</v>
      </c>
      <c r="Z28" s="77">
        <v>2.0499999999999998</v>
      </c>
      <c r="AA28" s="77">
        <v>4.9099999999999998E-2</v>
      </c>
      <c r="AB28" s="77">
        <v>3.0400000000000002E-3</v>
      </c>
      <c r="AC28" s="77">
        <v>1.2700000000000001E-3</v>
      </c>
      <c r="AD28" s="77">
        <v>2.2499999999999999E-2</v>
      </c>
      <c r="AE28" s="77">
        <v>0.39400000000000002</v>
      </c>
      <c r="AF28" s="69"/>
    </row>
    <row r="29" spans="1:32" ht="15.75" customHeight="1" x14ac:dyDescent="0.25">
      <c r="A29" s="73">
        <v>45222</v>
      </c>
      <c r="B29" s="69" t="s">
        <v>238</v>
      </c>
      <c r="C29" s="69" t="s">
        <v>351</v>
      </c>
      <c r="D29" s="75" t="s">
        <v>319</v>
      </c>
      <c r="E29" s="69"/>
      <c r="F29" s="74">
        <v>40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77"/>
      <c r="Y29" s="77"/>
      <c r="Z29" s="77"/>
      <c r="AA29" s="77"/>
      <c r="AB29" s="77"/>
      <c r="AC29" s="77"/>
      <c r="AD29" s="77"/>
      <c r="AE29" s="77"/>
      <c r="AF29" s="69" t="s">
        <v>347</v>
      </c>
    </row>
    <row r="30" spans="1:32" ht="15.75" customHeight="1" x14ac:dyDescent="0.25">
      <c r="A30" s="73">
        <v>45308</v>
      </c>
      <c r="B30" s="69" t="s">
        <v>342</v>
      </c>
      <c r="C30" s="69" t="s">
        <v>352</v>
      </c>
      <c r="D30" s="75" t="s">
        <v>319</v>
      </c>
      <c r="E30" s="76">
        <v>7.3</v>
      </c>
      <c r="F30" s="69">
        <v>1</v>
      </c>
      <c r="G30" s="69">
        <v>200</v>
      </c>
      <c r="H30" s="69">
        <v>427</v>
      </c>
      <c r="I30" s="69"/>
      <c r="J30" s="69">
        <v>39.35</v>
      </c>
      <c r="K30" s="76">
        <v>31.7</v>
      </c>
      <c r="L30" s="76">
        <v>3.5000000000000003E-2</v>
      </c>
      <c r="M30" s="69">
        <v>0.75</v>
      </c>
      <c r="N30" s="69"/>
      <c r="O30" s="69"/>
      <c r="P30" s="69"/>
      <c r="Q30" s="69">
        <v>4.8899999999999997</v>
      </c>
      <c r="R30" s="69">
        <v>0.47</v>
      </c>
      <c r="S30" s="69">
        <v>4.8899999999999997</v>
      </c>
      <c r="T30" s="69">
        <v>0.73</v>
      </c>
      <c r="U30" s="69"/>
      <c r="V30" s="69"/>
      <c r="W30" s="79">
        <v>8.5000000000000006E-5</v>
      </c>
      <c r="X30" s="77">
        <v>0.11600000000000001</v>
      </c>
      <c r="Y30" s="77">
        <v>0.313</v>
      </c>
      <c r="Z30" s="77">
        <v>1.21</v>
      </c>
      <c r="AA30" s="77">
        <v>0.05</v>
      </c>
      <c r="AB30" s="77">
        <v>2.8800000000000002E-3</v>
      </c>
      <c r="AC30" s="77">
        <v>1.2999999999999999E-3</v>
      </c>
      <c r="AD30" s="77">
        <v>1.78E-2</v>
      </c>
      <c r="AE30" s="77">
        <v>0.26200000000000001</v>
      </c>
      <c r="AF30" s="69"/>
    </row>
    <row r="31" spans="1:32" ht="15.75" customHeight="1" x14ac:dyDescent="0.25">
      <c r="A31" s="73">
        <v>45392</v>
      </c>
      <c r="B31" s="69" t="s">
        <v>342</v>
      </c>
      <c r="C31" s="69" t="s">
        <v>353</v>
      </c>
      <c r="D31" s="75" t="s">
        <v>319</v>
      </c>
      <c r="E31" s="69">
        <v>7.18</v>
      </c>
      <c r="F31" s="74">
        <v>20</v>
      </c>
      <c r="G31" s="69">
        <v>120</v>
      </c>
      <c r="H31" s="69">
        <v>543</v>
      </c>
      <c r="I31" s="69"/>
      <c r="J31" s="76">
        <v>61.3</v>
      </c>
      <c r="K31" s="76">
        <v>60.2</v>
      </c>
      <c r="L31" s="69" t="s">
        <v>354</v>
      </c>
      <c r="M31" s="69" t="s">
        <v>355</v>
      </c>
      <c r="N31" s="69"/>
      <c r="O31" s="69"/>
      <c r="P31" s="69"/>
      <c r="Q31" s="69">
        <v>1.41</v>
      </c>
      <c r="R31" s="69">
        <v>1.07</v>
      </c>
      <c r="S31" s="69">
        <v>0.34</v>
      </c>
      <c r="T31" s="69" t="s">
        <v>356</v>
      </c>
      <c r="U31" s="69"/>
      <c r="V31" s="69"/>
      <c r="W31" s="69" t="s">
        <v>357</v>
      </c>
      <c r="X31" s="77">
        <v>3.9100000000000003E-2</v>
      </c>
      <c r="Y31" s="77">
        <v>0.74</v>
      </c>
      <c r="Z31" s="77">
        <v>1.26</v>
      </c>
      <c r="AA31" s="77">
        <v>6.7000000000000004E-2</v>
      </c>
      <c r="AB31" s="77">
        <v>3.3800000000000002E-3</v>
      </c>
      <c r="AC31" s="77">
        <v>2.1099999999999999E-3</v>
      </c>
      <c r="AD31" s="77">
        <v>3.5000000000000003E-2</v>
      </c>
      <c r="AE31" s="77">
        <v>0.26</v>
      </c>
      <c r="AF31" s="69"/>
    </row>
    <row r="32" spans="1:32" ht="15.75" customHeight="1" x14ac:dyDescent="0.25">
      <c r="A32" s="73">
        <v>45462</v>
      </c>
      <c r="B32" s="69" t="s">
        <v>342</v>
      </c>
      <c r="C32" s="69" t="s">
        <v>358</v>
      </c>
      <c r="D32" s="75" t="s">
        <v>319</v>
      </c>
      <c r="E32" s="69">
        <v>7.23</v>
      </c>
      <c r="F32" s="74">
        <v>150</v>
      </c>
      <c r="G32" s="69">
        <v>220</v>
      </c>
      <c r="H32" s="69">
        <v>299</v>
      </c>
      <c r="I32" s="69"/>
      <c r="J32" s="76">
        <v>49.124000000000002</v>
      </c>
      <c r="K32" s="76">
        <v>34</v>
      </c>
      <c r="L32" s="76">
        <v>0.26900000000000002</v>
      </c>
      <c r="M32" s="76">
        <v>0.55500000000000005</v>
      </c>
      <c r="N32" s="69"/>
      <c r="O32" s="69"/>
      <c r="P32" s="69"/>
      <c r="Q32" s="76">
        <v>2.8279999999999998</v>
      </c>
      <c r="R32" s="76">
        <v>0.54800000000000004</v>
      </c>
      <c r="S32" s="76">
        <v>2.2799999999999998</v>
      </c>
      <c r="T32" s="76" t="s">
        <v>359</v>
      </c>
      <c r="U32" s="69"/>
      <c r="V32" s="69"/>
      <c r="W32" s="69">
        <v>9.2E-5</v>
      </c>
      <c r="X32" s="77">
        <v>5.79E-2</v>
      </c>
      <c r="Y32" s="77">
        <v>0.35699999999999998</v>
      </c>
      <c r="Z32" s="77">
        <v>2.06</v>
      </c>
      <c r="AA32" s="77">
        <v>5.3999999999999999E-2</v>
      </c>
      <c r="AB32" s="77">
        <v>3.3999999999999998E-3</v>
      </c>
      <c r="AC32" s="77">
        <v>1.9499999999999999E-3</v>
      </c>
      <c r="AD32" s="77">
        <v>2.35E-2</v>
      </c>
      <c r="AE32" s="77">
        <v>0.27100000000000002</v>
      </c>
      <c r="AF32" s="69"/>
    </row>
    <row r="33" spans="1:32" ht="15.75" customHeight="1" x14ac:dyDescent="0.25">
      <c r="A33" s="73">
        <v>45503</v>
      </c>
      <c r="B33" s="69" t="s">
        <v>320</v>
      </c>
      <c r="C33" s="69">
        <v>14853</v>
      </c>
      <c r="D33" s="75" t="s">
        <v>319</v>
      </c>
      <c r="E33" s="69"/>
      <c r="F33" s="74">
        <v>40</v>
      </c>
      <c r="G33" s="69"/>
      <c r="H33" s="69"/>
      <c r="I33" s="69"/>
      <c r="J33" s="76"/>
      <c r="K33" s="76"/>
      <c r="L33" s="76"/>
      <c r="M33" s="76"/>
      <c r="N33" s="69"/>
      <c r="O33" s="69"/>
      <c r="P33" s="69"/>
      <c r="Q33" s="76"/>
      <c r="R33" s="76"/>
      <c r="S33" s="76"/>
      <c r="T33" s="76"/>
      <c r="U33" s="69"/>
      <c r="V33" s="69"/>
      <c r="W33" s="69"/>
      <c r="X33" s="77"/>
      <c r="Y33" s="77"/>
      <c r="Z33" s="77"/>
      <c r="AA33" s="77"/>
      <c r="AB33" s="77"/>
      <c r="AC33" s="77"/>
      <c r="AD33" s="77"/>
      <c r="AE33" s="77"/>
      <c r="AF33" s="69" t="s">
        <v>347</v>
      </c>
    </row>
    <row r="34" spans="1:32" ht="15.75" customHeight="1" x14ac:dyDescent="0.25">
      <c r="A34" s="73">
        <v>45568</v>
      </c>
      <c r="B34" s="69" t="s">
        <v>342</v>
      </c>
      <c r="C34" s="69" t="s">
        <v>360</v>
      </c>
      <c r="D34" s="75" t="s">
        <v>319</v>
      </c>
      <c r="E34" s="69">
        <v>7.32</v>
      </c>
      <c r="F34" s="74">
        <v>20</v>
      </c>
      <c r="G34" s="69">
        <v>132</v>
      </c>
      <c r="H34" s="69">
        <v>254</v>
      </c>
      <c r="I34" s="69"/>
      <c r="J34" s="76">
        <v>50.16</v>
      </c>
      <c r="K34" s="76">
        <v>45.3</v>
      </c>
      <c r="L34" s="76">
        <v>0.23</v>
      </c>
      <c r="M34" s="76">
        <v>0.83</v>
      </c>
      <c r="N34" s="69"/>
      <c r="O34" s="69"/>
      <c r="P34" s="69"/>
      <c r="Q34" s="76">
        <v>2.36</v>
      </c>
      <c r="R34" s="76">
        <v>1.1499999999999999</v>
      </c>
      <c r="S34" s="76">
        <v>1.21</v>
      </c>
      <c r="T34" s="76" t="s">
        <v>356</v>
      </c>
      <c r="U34" s="69"/>
      <c r="V34" s="69"/>
      <c r="W34" s="69">
        <v>9.3999999999999994E-5</v>
      </c>
      <c r="X34" s="77">
        <v>5.8099999999999999E-2</v>
      </c>
      <c r="Y34" s="77">
        <v>0.26900000000000002</v>
      </c>
      <c r="Z34" s="77">
        <v>1.4</v>
      </c>
      <c r="AA34" s="77">
        <v>4.7500000000000001E-2</v>
      </c>
      <c r="AB34" s="77">
        <v>3.4499999999999999E-3</v>
      </c>
      <c r="AC34" s="77">
        <v>1.1900000000000001E-3</v>
      </c>
      <c r="AD34" s="77">
        <v>2.52E-2</v>
      </c>
      <c r="AE34" s="77">
        <v>0.25600000000000001</v>
      </c>
      <c r="AF34" s="69"/>
    </row>
    <row r="35" spans="1:32" ht="15.75" customHeight="1" x14ac:dyDescent="0.25">
      <c r="A35" s="73"/>
      <c r="B35" s="69"/>
      <c r="C35" s="69"/>
      <c r="D35" s="75"/>
      <c r="E35" s="76"/>
      <c r="F35" s="74"/>
      <c r="G35" s="69"/>
      <c r="H35" s="69"/>
      <c r="I35" s="69"/>
      <c r="J35" s="76"/>
      <c r="K35" s="76"/>
      <c r="L35" s="76"/>
      <c r="M35" s="76"/>
      <c r="N35" s="69"/>
      <c r="O35" s="69"/>
      <c r="P35" s="69"/>
      <c r="Q35" s="76"/>
      <c r="R35" s="76"/>
      <c r="S35" s="76"/>
      <c r="T35" s="76"/>
      <c r="U35" s="69"/>
      <c r="V35" s="69"/>
      <c r="W35" s="69"/>
      <c r="X35" s="186"/>
      <c r="Y35" s="186"/>
      <c r="Z35" s="186"/>
      <c r="AA35" s="186"/>
      <c r="AB35" s="186"/>
      <c r="AC35" s="186"/>
      <c r="AD35" s="186"/>
      <c r="AE35" s="186"/>
      <c r="AF35" s="69"/>
    </row>
    <row r="36" spans="1:32" ht="15.75" customHeight="1" x14ac:dyDescent="0.25">
      <c r="A36" s="73"/>
      <c r="B36" s="69"/>
      <c r="C36" s="69"/>
      <c r="D36" s="75"/>
      <c r="E36" s="76"/>
      <c r="F36" s="74"/>
      <c r="G36" s="69"/>
      <c r="H36" s="69"/>
      <c r="I36" s="69"/>
      <c r="J36" s="76"/>
      <c r="K36" s="76"/>
      <c r="L36" s="76"/>
      <c r="M36" s="76"/>
      <c r="N36" s="69"/>
      <c r="O36" s="69"/>
      <c r="P36" s="69"/>
      <c r="Q36" s="76"/>
      <c r="R36" s="76"/>
      <c r="S36" s="76"/>
      <c r="T36" s="76"/>
      <c r="U36" s="69"/>
      <c r="V36" s="69"/>
      <c r="W36" s="69"/>
      <c r="X36" s="77"/>
      <c r="Y36" s="77"/>
      <c r="Z36" s="77"/>
      <c r="AA36" s="77"/>
      <c r="AB36" s="77"/>
      <c r="AC36" s="77"/>
      <c r="AD36" s="77"/>
      <c r="AE36" s="77"/>
      <c r="AF36" s="69"/>
    </row>
    <row r="37" spans="1:32" ht="15.75" customHeight="1" x14ac:dyDescent="0.25">
      <c r="A37" s="73"/>
      <c r="B37" s="69"/>
      <c r="C37" s="69"/>
      <c r="D37" s="75"/>
      <c r="E37" s="69"/>
      <c r="F37" s="74"/>
      <c r="G37" s="69"/>
      <c r="H37" s="69"/>
      <c r="I37" s="69"/>
      <c r="J37" s="76"/>
      <c r="K37" s="76"/>
      <c r="L37" s="76"/>
      <c r="M37" s="76"/>
      <c r="N37" s="69"/>
      <c r="O37" s="69"/>
      <c r="P37" s="69"/>
      <c r="Q37" s="76"/>
      <c r="R37" s="76"/>
      <c r="S37" s="76"/>
      <c r="T37" s="76"/>
      <c r="U37" s="69"/>
      <c r="V37" s="69"/>
      <c r="W37" s="69"/>
      <c r="X37" s="77"/>
      <c r="Y37" s="77"/>
      <c r="Z37" s="77"/>
      <c r="AA37" s="77"/>
      <c r="AB37" s="77"/>
      <c r="AC37" s="77"/>
      <c r="AD37" s="77"/>
      <c r="AE37" s="77"/>
      <c r="AF37" s="69"/>
    </row>
    <row r="38" spans="1:32" ht="15.75" customHeight="1" x14ac:dyDescent="0.25">
      <c r="A38" s="73"/>
      <c r="B38" s="69"/>
      <c r="C38" s="69"/>
      <c r="D38" s="80"/>
      <c r="E38" s="69"/>
      <c r="F38" s="74"/>
      <c r="G38" s="69"/>
      <c r="H38" s="69"/>
      <c r="I38" s="69"/>
      <c r="J38" s="76"/>
      <c r="K38" s="76"/>
      <c r="L38" s="76"/>
      <c r="M38" s="76"/>
      <c r="N38" s="69"/>
      <c r="O38" s="69"/>
      <c r="P38" s="69"/>
      <c r="Q38" s="76"/>
      <c r="R38" s="76"/>
      <c r="S38" s="76"/>
      <c r="T38" s="76"/>
      <c r="U38" s="69"/>
      <c r="V38" s="69"/>
      <c r="W38" s="69"/>
      <c r="X38" s="77"/>
      <c r="Y38" s="77"/>
      <c r="Z38" s="77"/>
      <c r="AA38" s="77"/>
      <c r="AB38" s="77"/>
      <c r="AC38" s="77"/>
      <c r="AD38" s="77"/>
      <c r="AE38" s="77"/>
      <c r="AF38" s="69"/>
    </row>
    <row r="39" spans="1:32" ht="15.75" customHeight="1" x14ac:dyDescent="0.25">
      <c r="A39" s="73"/>
      <c r="B39" s="69"/>
      <c r="C39" s="69"/>
      <c r="D39" s="80"/>
      <c r="E39" s="69"/>
      <c r="F39" s="74"/>
      <c r="G39" s="69"/>
      <c r="H39" s="69"/>
      <c r="I39" s="69"/>
      <c r="J39" s="76"/>
      <c r="K39" s="76"/>
      <c r="L39" s="76"/>
      <c r="M39" s="76"/>
      <c r="N39" s="69"/>
      <c r="O39" s="69"/>
      <c r="P39" s="69"/>
      <c r="Q39" s="76"/>
      <c r="R39" s="76"/>
      <c r="S39" s="76"/>
      <c r="T39" s="76"/>
      <c r="U39" s="69"/>
      <c r="V39" s="69"/>
      <c r="W39" s="69"/>
      <c r="X39" s="77"/>
      <c r="Y39" s="77"/>
      <c r="Z39" s="77"/>
      <c r="AA39" s="77"/>
      <c r="AB39" s="77"/>
      <c r="AC39" s="77"/>
      <c r="AD39" s="77"/>
      <c r="AE39" s="77"/>
      <c r="AF39" s="69"/>
    </row>
    <row r="40" spans="1:32" ht="15.75" customHeight="1" x14ac:dyDescent="0.25">
      <c r="A40" s="73"/>
      <c r="B40" s="69"/>
      <c r="C40" s="69"/>
      <c r="D40" s="80"/>
      <c r="E40" s="69"/>
      <c r="F40" s="74"/>
      <c r="G40" s="69"/>
      <c r="H40" s="69"/>
      <c r="I40" s="69"/>
      <c r="J40" s="76"/>
      <c r="K40" s="76"/>
      <c r="L40" s="76"/>
      <c r="M40" s="76"/>
      <c r="N40" s="69"/>
      <c r="O40" s="69"/>
      <c r="P40" s="69"/>
      <c r="Q40" s="76"/>
      <c r="R40" s="76"/>
      <c r="S40" s="76"/>
      <c r="T40" s="76"/>
      <c r="U40" s="69"/>
      <c r="V40" s="69"/>
      <c r="W40" s="69"/>
      <c r="X40" s="77"/>
      <c r="Y40" s="77"/>
      <c r="Z40" s="77"/>
      <c r="AA40" s="77"/>
      <c r="AB40" s="77"/>
      <c r="AC40" s="77"/>
      <c r="AD40" s="77"/>
      <c r="AE40" s="77"/>
      <c r="AF40" s="69"/>
    </row>
  </sheetData>
  <conditionalFormatting sqref="F6:F40">
    <cfRule type="cellIs" dxfId="31" priority="1" operator="greaterThan">
      <formula>$F$5</formula>
    </cfRule>
  </conditionalFormatting>
  <conditionalFormatting sqref="G6:G40">
    <cfRule type="cellIs" dxfId="30" priority="2" operator="greaterThanOrEqual">
      <formula>$G$5</formula>
    </cfRule>
  </conditionalFormatting>
  <conditionalFormatting sqref="H6:H40">
    <cfRule type="cellIs" dxfId="29" priority="3" operator="greaterThanOrEqual">
      <formula>$H$5</formula>
    </cfRule>
  </conditionalFormatting>
  <conditionalFormatting sqref="I6:I40">
    <cfRule type="cellIs" dxfId="28" priority="4" operator="greaterThanOrEqual">
      <formula>$I$5</formula>
    </cfRule>
  </conditionalFormatting>
  <conditionalFormatting sqref="J6:J40">
    <cfRule type="cellIs" dxfId="27" priority="5" operator="greaterThanOrEqual">
      <formula>$J$5</formula>
    </cfRule>
  </conditionalFormatting>
  <conditionalFormatting sqref="K6:K40">
    <cfRule type="cellIs" dxfId="26" priority="6" operator="greaterThanOrEqual">
      <formula>$K$5</formula>
    </cfRule>
  </conditionalFormatting>
  <conditionalFormatting sqref="L6:L30 L32:L34 L36:L40">
    <cfRule type="cellIs" dxfId="25" priority="7" operator="greaterThanOrEqual">
      <formula>$L$5</formula>
    </cfRule>
  </conditionalFormatting>
  <conditionalFormatting sqref="M6:M30 M32:M34 M36:M40">
    <cfRule type="cellIs" dxfId="24" priority="8" operator="greaterThanOrEqual">
      <formula>$M$5</formula>
    </cfRule>
  </conditionalFormatting>
  <conditionalFormatting sqref="O6:O40">
    <cfRule type="cellIs" dxfId="23" priority="9" operator="greaterThanOrEqual">
      <formula>$O$5</formula>
    </cfRule>
  </conditionalFormatting>
  <conditionalFormatting sqref="P6:P40">
    <cfRule type="cellIs" dxfId="22" priority="10" operator="greaterThanOrEqual">
      <formula>$P$5</formula>
    </cfRule>
  </conditionalFormatting>
  <conditionalFormatting sqref="Q6:Q40">
    <cfRule type="cellIs" dxfId="21" priority="11" operator="greaterThanOrEqual">
      <formula>$Q$5</formula>
    </cfRule>
  </conditionalFormatting>
  <conditionalFormatting sqref="U6:U40">
    <cfRule type="cellIs" dxfId="20" priority="12" operator="greaterThanOrEqual">
      <formula>$U$5</formula>
    </cfRule>
  </conditionalFormatting>
  <conditionalFormatting sqref="Y6:Y40">
    <cfRule type="cellIs" dxfId="19" priority="13" operator="greaterThanOrEqual">
      <formula>$Y$5</formula>
    </cfRule>
  </conditionalFormatting>
  <conditionalFormatting sqref="Z6:Z40">
    <cfRule type="cellIs" dxfId="18" priority="14" operator="greaterThanOrEqual">
      <formula>$Z$5</formula>
    </cfRule>
  </conditionalFormatting>
  <pageMargins left="0.70866141732283472" right="0.70866141732283472" top="0.74803149606299213" bottom="0.74803149606299213" header="0" footer="0"/>
  <pageSetup paperSize="9" orientation="landscape"/>
  <headerFooter>
    <oddFooter>&amp;L&amp;A&amp;R&amp;F</oddFooter>
  </headerFooter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FD562-7059-42A7-9E7C-9007C6E3A7E5}">
  <sheetPr>
    <tabColor rgb="FFA8D08D"/>
  </sheetPr>
  <dimension ref="A1:U35"/>
  <sheetViews>
    <sheetView showGridLine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14.42578125" defaultRowHeight="15" customHeight="1" x14ac:dyDescent="0.25"/>
  <cols>
    <col min="1" max="4" width="20.7109375" style="144" customWidth="1"/>
    <col min="5" max="9" width="12.7109375" style="144" customWidth="1"/>
    <col min="10" max="16" width="8.7109375" style="144" customWidth="1"/>
    <col min="17" max="17" width="10.85546875" style="144" bestFit="1" customWidth="1"/>
    <col min="18" max="18" width="12.28515625" style="144" customWidth="1"/>
    <col min="19" max="20" width="8.7109375" style="144" customWidth="1"/>
    <col min="21" max="21" width="14.5703125" style="144" customWidth="1"/>
    <col min="22" max="22" width="8.7109375" style="144" customWidth="1"/>
    <col min="23" max="23" width="10.28515625" style="144" customWidth="1"/>
    <col min="24" max="31" width="8.7109375" style="144" customWidth="1"/>
    <col min="32" max="32" width="27.28515625" style="144" customWidth="1"/>
    <col min="33" max="33" width="8.7109375" style="144" customWidth="1"/>
    <col min="34" max="37" width="20.7109375" style="144" customWidth="1"/>
    <col min="38" max="42" width="12.7109375" style="144" customWidth="1"/>
    <col min="43" max="49" width="8.7109375" style="144" customWidth="1"/>
    <col min="50" max="53" width="12.7109375" style="144" customWidth="1"/>
    <col min="54" max="54" width="13.42578125" style="144" customWidth="1"/>
    <col min="55" max="16384" width="14.42578125" style="144"/>
  </cols>
  <sheetData>
    <row r="1" spans="1:21" s="161" customFormat="1" x14ac:dyDescent="0.25">
      <c r="A1" s="18" t="s">
        <v>272</v>
      </c>
      <c r="B1" s="160"/>
      <c r="C1" s="160"/>
      <c r="D1" s="160"/>
      <c r="E1" s="160"/>
      <c r="F1" s="160"/>
      <c r="G1" s="160"/>
    </row>
    <row r="2" spans="1:21" x14ac:dyDescent="0.25">
      <c r="A2" s="159"/>
      <c r="B2" s="6"/>
      <c r="C2" s="6"/>
      <c r="D2" s="6"/>
      <c r="E2" s="6"/>
      <c r="F2" s="6"/>
      <c r="G2" s="6"/>
    </row>
    <row r="3" spans="1:21" x14ac:dyDescent="0.25">
      <c r="A3" s="1" t="s">
        <v>274</v>
      </c>
      <c r="B3" s="6"/>
      <c r="C3" s="6"/>
      <c r="D3" s="6"/>
      <c r="E3" s="6"/>
      <c r="F3" s="6"/>
      <c r="G3" s="6"/>
    </row>
    <row r="4" spans="1:21" ht="75" x14ac:dyDescent="0.25">
      <c r="A4" s="61" t="s">
        <v>275</v>
      </c>
      <c r="B4" s="61" t="s">
        <v>276</v>
      </c>
      <c r="C4" s="62" t="s">
        <v>277</v>
      </c>
      <c r="D4" s="61" t="s">
        <v>278</v>
      </c>
      <c r="E4" s="62" t="s">
        <v>282</v>
      </c>
      <c r="F4" s="62" t="s">
        <v>307</v>
      </c>
      <c r="G4" s="62" t="s">
        <v>284</v>
      </c>
      <c r="H4" s="6" t="s">
        <v>300</v>
      </c>
      <c r="I4" s="62" t="s">
        <v>281</v>
      </c>
      <c r="J4" s="62" t="s">
        <v>308</v>
      </c>
      <c r="K4" s="62" t="s">
        <v>298</v>
      </c>
      <c r="L4" s="62" t="s">
        <v>304</v>
      </c>
      <c r="M4" s="62" t="s">
        <v>302</v>
      </c>
      <c r="N4" s="62" t="s">
        <v>305</v>
      </c>
      <c r="O4" s="62" t="s">
        <v>280</v>
      </c>
      <c r="P4" s="62" t="s">
        <v>309</v>
      </c>
      <c r="Q4" s="62" t="s">
        <v>310</v>
      </c>
      <c r="R4" s="6" t="s">
        <v>311</v>
      </c>
      <c r="S4" s="6" t="s">
        <v>312</v>
      </c>
      <c r="T4" s="62" t="s">
        <v>313</v>
      </c>
      <c r="U4" s="63" t="s">
        <v>306</v>
      </c>
    </row>
    <row r="5" spans="1:21" x14ac:dyDescent="0.25">
      <c r="A5" s="48" t="s">
        <v>314</v>
      </c>
      <c r="B5" s="48"/>
      <c r="C5" s="70"/>
      <c r="D5" s="70"/>
      <c r="E5" s="188">
        <v>1000</v>
      </c>
      <c r="F5" s="72" t="s">
        <v>316</v>
      </c>
      <c r="G5" s="189">
        <v>95</v>
      </c>
      <c r="H5" s="189">
        <v>2</v>
      </c>
      <c r="I5" s="189">
        <v>500</v>
      </c>
      <c r="J5" s="70">
        <v>0.2</v>
      </c>
      <c r="K5" s="190">
        <v>0.3</v>
      </c>
      <c r="L5" s="70">
        <v>0.4</v>
      </c>
      <c r="M5" s="190">
        <v>0.2</v>
      </c>
      <c r="N5" s="191">
        <v>0.8</v>
      </c>
      <c r="O5" s="71" t="s">
        <v>316</v>
      </c>
      <c r="P5" s="192">
        <v>0.8</v>
      </c>
      <c r="Q5" s="48">
        <v>7</v>
      </c>
      <c r="R5" s="190">
        <v>15</v>
      </c>
      <c r="S5" s="70">
        <v>1</v>
      </c>
      <c r="T5" s="70">
        <v>80</v>
      </c>
      <c r="U5" s="162"/>
    </row>
    <row r="6" spans="1:21" x14ac:dyDescent="0.25">
      <c r="A6" s="158">
        <v>45555</v>
      </c>
      <c r="B6" s="2" t="s">
        <v>324</v>
      </c>
      <c r="C6" s="2" t="s">
        <v>325</v>
      </c>
      <c r="D6" s="6" t="s">
        <v>319</v>
      </c>
      <c r="E6" s="78">
        <v>594</v>
      </c>
      <c r="F6" s="2">
        <v>144</v>
      </c>
      <c r="G6" s="2">
        <v>58.7</v>
      </c>
      <c r="H6" s="2">
        <v>1.8</v>
      </c>
      <c r="I6" s="2">
        <v>241</v>
      </c>
      <c r="J6" s="2" t="s">
        <v>326</v>
      </c>
      <c r="K6" s="2">
        <v>0.15</v>
      </c>
      <c r="L6" s="2" t="s">
        <v>327</v>
      </c>
      <c r="M6" s="2" t="s">
        <v>326</v>
      </c>
      <c r="N6" s="2">
        <v>0.25</v>
      </c>
      <c r="O6" s="163" t="s">
        <v>328</v>
      </c>
      <c r="P6" s="163">
        <v>1.27</v>
      </c>
      <c r="Q6" s="2" t="s">
        <v>329</v>
      </c>
      <c r="R6" s="2">
        <v>10.199999999999999</v>
      </c>
      <c r="S6" s="2" t="s">
        <v>326</v>
      </c>
      <c r="T6" s="163">
        <v>100</v>
      </c>
      <c r="U6" s="2" t="s">
        <v>330</v>
      </c>
    </row>
    <row r="7" spans="1:21" x14ac:dyDescent="0.25">
      <c r="A7" s="158">
        <v>45589</v>
      </c>
      <c r="B7" s="2" t="s">
        <v>324</v>
      </c>
      <c r="C7" s="2" t="s">
        <v>332</v>
      </c>
      <c r="D7" s="6" t="s">
        <v>319</v>
      </c>
      <c r="E7" s="2">
        <v>564</v>
      </c>
      <c r="F7" s="2">
        <v>135</v>
      </c>
      <c r="G7" s="2">
        <v>62.1</v>
      </c>
      <c r="H7" s="2">
        <v>1.2</v>
      </c>
      <c r="I7" s="2">
        <v>201</v>
      </c>
      <c r="J7" s="2" t="s">
        <v>326</v>
      </c>
      <c r="K7" s="2" t="s">
        <v>326</v>
      </c>
      <c r="L7" s="2" t="s">
        <v>327</v>
      </c>
      <c r="M7" s="2" t="s">
        <v>326</v>
      </c>
      <c r="N7" s="2">
        <v>0.15</v>
      </c>
      <c r="O7" s="2" t="s">
        <v>333</v>
      </c>
      <c r="P7" s="163">
        <v>1.53</v>
      </c>
      <c r="Q7" s="56" t="s">
        <v>334</v>
      </c>
      <c r="R7" s="2">
        <v>11.9</v>
      </c>
      <c r="S7" s="2" t="s">
        <v>326</v>
      </c>
      <c r="T7" s="2">
        <v>30</v>
      </c>
      <c r="U7" s="2" t="s">
        <v>330</v>
      </c>
    </row>
    <row r="8" spans="1:21" x14ac:dyDescent="0.25">
      <c r="A8" s="158">
        <v>45610</v>
      </c>
      <c r="B8" s="2" t="s">
        <v>324</v>
      </c>
      <c r="C8" s="2" t="s">
        <v>336</v>
      </c>
      <c r="D8" s="6" t="s">
        <v>319</v>
      </c>
      <c r="E8" s="2">
        <v>661</v>
      </c>
      <c r="F8" s="2">
        <v>150</v>
      </c>
      <c r="G8" s="2">
        <v>66.8</v>
      </c>
      <c r="H8" s="2">
        <v>1.4</v>
      </c>
      <c r="I8" s="2">
        <v>270</v>
      </c>
      <c r="J8" s="2" t="s">
        <v>326</v>
      </c>
      <c r="K8" s="2" t="s">
        <v>326</v>
      </c>
      <c r="L8" s="2" t="s">
        <v>327</v>
      </c>
      <c r="M8" s="2" t="s">
        <v>326</v>
      </c>
      <c r="N8" s="2">
        <v>0.18</v>
      </c>
      <c r="O8" s="2" t="s">
        <v>337</v>
      </c>
      <c r="P8" s="163">
        <v>2.14</v>
      </c>
      <c r="Q8" s="56" t="s">
        <v>334</v>
      </c>
      <c r="R8" s="163">
        <v>20</v>
      </c>
      <c r="S8" s="2" t="s">
        <v>326</v>
      </c>
      <c r="T8" s="2">
        <v>80</v>
      </c>
      <c r="U8" s="2" t="s">
        <v>330</v>
      </c>
    </row>
    <row r="9" spans="1:21" x14ac:dyDescent="0.25">
      <c r="A9" s="158">
        <v>45638</v>
      </c>
      <c r="B9" s="2" t="s">
        <v>324</v>
      </c>
      <c r="C9" s="152" t="s">
        <v>466</v>
      </c>
      <c r="D9" s="6" t="s">
        <v>319</v>
      </c>
      <c r="E9" s="2">
        <v>711</v>
      </c>
      <c r="F9" s="2">
        <v>191</v>
      </c>
      <c r="G9" s="2">
        <v>75.099999999999994</v>
      </c>
      <c r="H9" s="47">
        <v>1.5</v>
      </c>
      <c r="I9" s="2">
        <v>238</v>
      </c>
      <c r="J9" s="2" t="s">
        <v>326</v>
      </c>
      <c r="K9" s="2" t="s">
        <v>326</v>
      </c>
      <c r="L9" s="2" t="s">
        <v>327</v>
      </c>
      <c r="M9" s="2" t="s">
        <v>326</v>
      </c>
      <c r="N9" s="2">
        <v>0.28000000000000003</v>
      </c>
      <c r="O9" s="2" t="s">
        <v>337</v>
      </c>
      <c r="P9" s="163">
        <v>1.69</v>
      </c>
      <c r="Q9" s="2" t="s">
        <v>329</v>
      </c>
      <c r="R9" s="163">
        <v>49.2</v>
      </c>
      <c r="S9" s="2" t="s">
        <v>326</v>
      </c>
      <c r="T9" s="163">
        <v>100</v>
      </c>
      <c r="U9" s="162" t="s">
        <v>330</v>
      </c>
    </row>
    <row r="10" spans="1:21" x14ac:dyDescent="0.25"/>
    <row r="11" spans="1:21" x14ac:dyDescent="0.25"/>
    <row r="12" spans="1:21" x14ac:dyDescent="0.25"/>
    <row r="13" spans="1:21" ht="15.75" customHeight="1" x14ac:dyDescent="0.25"/>
    <row r="14" spans="1:21" ht="15.75" customHeight="1" x14ac:dyDescent="0.25"/>
    <row r="15" spans="1:21" ht="15.75" customHeight="1" x14ac:dyDescent="0.25"/>
    <row r="16" spans="1:2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</sheetData>
  <pageMargins left="0.70866141732283472" right="0.70866141732283472" top="0.74803149606299213" bottom="0.74803149606299213" header="0" footer="0"/>
  <pageSetup paperSize="9" orientation="landscape" r:id="rId1"/>
  <headerFooter>
    <oddFooter>&amp;L&amp;A&amp;R&amp;F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A8D08D"/>
  </sheetPr>
  <dimension ref="A1:M29"/>
  <sheetViews>
    <sheetView showGridLines="0" workbookViewId="0">
      <pane xSplit="2" ySplit="4" topLeftCell="C12" activePane="bottomRight" state="frozen"/>
      <selection pane="topRight" activeCell="C1" sqref="C1"/>
      <selection pane="bottomLeft" activeCell="A5" sqref="A5"/>
      <selection pane="bottomRight" activeCell="G43" sqref="G43"/>
    </sheetView>
  </sheetViews>
  <sheetFormatPr defaultColWidth="14.42578125" defaultRowHeight="15" customHeight="1" x14ac:dyDescent="0.25"/>
  <cols>
    <col min="1" max="1" width="30.7109375" customWidth="1"/>
    <col min="2" max="2" width="10.7109375" style="144" customWidth="1"/>
    <col min="3" max="3" width="20.7109375" customWidth="1"/>
    <col min="4" max="4" width="10.7109375" customWidth="1"/>
    <col min="5" max="13" width="15.7109375" customWidth="1"/>
    <col min="14" max="25" width="8.7109375" customWidth="1"/>
  </cols>
  <sheetData>
    <row r="1" spans="1:13" x14ac:dyDescent="0.25">
      <c r="A1" s="1" t="s">
        <v>361</v>
      </c>
      <c r="B1" s="6"/>
      <c r="C1" s="6"/>
      <c r="D1" s="6"/>
    </row>
    <row r="2" spans="1:13" x14ac:dyDescent="0.25">
      <c r="A2" s="1"/>
      <c r="B2" s="6"/>
      <c r="C2" s="6"/>
      <c r="D2" s="6"/>
    </row>
    <row r="3" spans="1:13" x14ac:dyDescent="0.25">
      <c r="A3" s="4" t="s">
        <v>362</v>
      </c>
      <c r="B3" s="6"/>
      <c r="C3" s="6"/>
      <c r="D3" s="6"/>
    </row>
    <row r="4" spans="1:13" ht="60" x14ac:dyDescent="0.25">
      <c r="A4" s="6" t="s">
        <v>363</v>
      </c>
      <c r="B4" s="6" t="s">
        <v>364</v>
      </c>
      <c r="C4" s="6" t="s">
        <v>365</v>
      </c>
      <c r="D4" s="6" t="s">
        <v>366</v>
      </c>
      <c r="E4" s="6" t="s">
        <v>367</v>
      </c>
      <c r="F4" s="6" t="s">
        <v>368</v>
      </c>
      <c r="G4" s="6" t="s">
        <v>369</v>
      </c>
      <c r="H4" s="6" t="s">
        <v>370</v>
      </c>
      <c r="I4" s="6" t="s">
        <v>371</v>
      </c>
      <c r="J4" s="6" t="s">
        <v>372</v>
      </c>
      <c r="K4" s="6" t="s">
        <v>373</v>
      </c>
      <c r="L4" s="6" t="s">
        <v>374</v>
      </c>
      <c r="M4" s="6" t="s">
        <v>467</v>
      </c>
    </row>
    <row r="5" spans="1:13" ht="45" x14ac:dyDescent="0.25">
      <c r="A5" s="6" t="s">
        <v>382</v>
      </c>
      <c r="B5" s="184" t="s">
        <v>383</v>
      </c>
      <c r="C5" s="153" t="s">
        <v>469</v>
      </c>
      <c r="D5" s="6" t="s">
        <v>381</v>
      </c>
      <c r="E5" s="6"/>
      <c r="F5" s="6"/>
      <c r="G5" s="6"/>
      <c r="H5" s="6"/>
      <c r="I5" s="6"/>
      <c r="J5" s="6"/>
      <c r="K5" s="6"/>
      <c r="L5" s="151">
        <v>224860</v>
      </c>
      <c r="M5" s="81"/>
    </row>
    <row r="6" spans="1:13" ht="45" x14ac:dyDescent="0.25">
      <c r="A6" s="6" t="s">
        <v>375</v>
      </c>
      <c r="B6" s="185" t="s">
        <v>480</v>
      </c>
      <c r="C6" s="6" t="s">
        <v>376</v>
      </c>
      <c r="D6" s="6" t="s">
        <v>377</v>
      </c>
      <c r="E6" s="81"/>
      <c r="F6" s="81"/>
      <c r="G6" s="81"/>
      <c r="H6" s="81"/>
      <c r="I6" s="81">
        <v>610</v>
      </c>
      <c r="J6" s="81"/>
      <c r="K6" s="81">
        <v>40</v>
      </c>
      <c r="L6" s="151">
        <v>150</v>
      </c>
      <c r="M6" s="151"/>
    </row>
    <row r="7" spans="1:13" ht="45" x14ac:dyDescent="0.25">
      <c r="A7" s="6" t="s">
        <v>378</v>
      </c>
      <c r="B7" s="185" t="s">
        <v>379</v>
      </c>
      <c r="C7" s="6" t="s">
        <v>380</v>
      </c>
      <c r="D7" s="6" t="s">
        <v>381</v>
      </c>
      <c r="E7" s="81"/>
      <c r="F7" s="81"/>
      <c r="G7" s="81">
        <v>28</v>
      </c>
      <c r="H7" s="81">
        <v>24</v>
      </c>
      <c r="I7" s="81"/>
      <c r="J7" s="81"/>
      <c r="K7" s="81">
        <v>45</v>
      </c>
      <c r="L7" s="151"/>
      <c r="M7" s="151"/>
    </row>
    <row r="8" spans="1:13" ht="45" x14ac:dyDescent="0.25">
      <c r="A8" s="6" t="s">
        <v>385</v>
      </c>
      <c r="B8" s="185" t="s">
        <v>481</v>
      </c>
      <c r="C8" s="6" t="s">
        <v>380</v>
      </c>
      <c r="D8" s="6" t="s">
        <v>377</v>
      </c>
      <c r="E8" s="81"/>
      <c r="F8" s="81"/>
      <c r="G8" s="81"/>
      <c r="H8" s="81"/>
      <c r="I8" s="81"/>
      <c r="J8" s="81"/>
      <c r="K8" s="81">
        <v>1000</v>
      </c>
      <c r="L8" s="151"/>
      <c r="M8" s="151"/>
    </row>
    <row r="9" spans="1:13" x14ac:dyDescent="0.25">
      <c r="A9" s="6" t="s">
        <v>386</v>
      </c>
      <c r="B9" s="185" t="s">
        <v>410</v>
      </c>
      <c r="C9" s="6" t="s">
        <v>380</v>
      </c>
      <c r="D9" s="6" t="s">
        <v>381</v>
      </c>
      <c r="E9" s="81">
        <v>55390</v>
      </c>
      <c r="F9" s="81">
        <v>59360</v>
      </c>
      <c r="G9" s="81">
        <v>44600</v>
      </c>
      <c r="H9" s="81">
        <v>30360</v>
      </c>
      <c r="I9" s="81">
        <v>31900</v>
      </c>
      <c r="J9" s="81">
        <v>44820</v>
      </c>
      <c r="K9" s="81">
        <v>56360</v>
      </c>
      <c r="L9" s="151">
        <v>54720</v>
      </c>
      <c r="M9" s="151"/>
    </row>
    <row r="10" spans="1:13" x14ac:dyDescent="0.25">
      <c r="A10" s="6" t="s">
        <v>387</v>
      </c>
      <c r="B10" s="185" t="s">
        <v>411</v>
      </c>
      <c r="C10" s="6" t="s">
        <v>380</v>
      </c>
      <c r="D10" s="6" t="s">
        <v>381</v>
      </c>
      <c r="E10" s="81">
        <v>26160</v>
      </c>
      <c r="F10" s="81">
        <v>24164</v>
      </c>
      <c r="G10" s="81">
        <v>23760</v>
      </c>
      <c r="H10" s="81">
        <v>22760</v>
      </c>
      <c r="I10" s="81">
        <v>18730</v>
      </c>
      <c r="J10" s="81">
        <v>16240</v>
      </c>
      <c r="K10" s="81">
        <v>32650</v>
      </c>
      <c r="L10" s="151">
        <v>13690</v>
      </c>
      <c r="M10" s="151"/>
    </row>
    <row r="11" spans="1:13" x14ac:dyDescent="0.25">
      <c r="A11" s="6" t="s">
        <v>473</v>
      </c>
      <c r="B11" s="185" t="s">
        <v>474</v>
      </c>
      <c r="C11" s="6" t="s">
        <v>468</v>
      </c>
      <c r="D11" s="6" t="s">
        <v>381</v>
      </c>
      <c r="E11" s="81"/>
      <c r="F11" s="81"/>
      <c r="G11" s="81"/>
      <c r="H11" s="81"/>
      <c r="I11" s="81"/>
      <c r="J11" s="81"/>
      <c r="K11" s="81"/>
      <c r="L11" s="182"/>
      <c r="M11" s="182"/>
    </row>
    <row r="12" spans="1:13" x14ac:dyDescent="0.25">
      <c r="A12" s="6" t="s">
        <v>388</v>
      </c>
      <c r="B12" s="185" t="s">
        <v>389</v>
      </c>
      <c r="C12" s="6" t="s">
        <v>380</v>
      </c>
      <c r="D12" s="6" t="s">
        <v>381</v>
      </c>
      <c r="E12" s="81">
        <v>18940</v>
      </c>
      <c r="F12" s="81">
        <v>27060</v>
      </c>
      <c r="G12" s="81">
        <v>24440</v>
      </c>
      <c r="H12" s="81">
        <v>34560</v>
      </c>
      <c r="I12" s="81">
        <v>42810</v>
      </c>
      <c r="J12" s="81">
        <v>47810</v>
      </c>
      <c r="K12" s="81">
        <v>60480</v>
      </c>
      <c r="L12" s="151">
        <v>57270</v>
      </c>
      <c r="M12" s="151"/>
    </row>
    <row r="13" spans="1:13" ht="45" x14ac:dyDescent="0.25">
      <c r="A13" s="6" t="s">
        <v>390</v>
      </c>
      <c r="B13" s="185" t="s">
        <v>482</v>
      </c>
      <c r="C13" s="6" t="s">
        <v>380</v>
      </c>
      <c r="D13" s="6" t="s">
        <v>377</v>
      </c>
      <c r="E13" s="81"/>
      <c r="F13" s="81"/>
      <c r="G13" s="81"/>
      <c r="H13" s="81">
        <v>1500</v>
      </c>
      <c r="I13" s="81">
        <v>520</v>
      </c>
      <c r="J13" s="81"/>
      <c r="K13" s="81">
        <v>45</v>
      </c>
      <c r="L13" s="151">
        <v>1050</v>
      </c>
      <c r="M13" s="151"/>
    </row>
    <row r="14" spans="1:13" ht="75" x14ac:dyDescent="0.25">
      <c r="A14" s="6" t="s">
        <v>489</v>
      </c>
      <c r="B14" s="185" t="s">
        <v>483</v>
      </c>
      <c r="C14" s="6" t="s">
        <v>376</v>
      </c>
      <c r="D14" s="6" t="s">
        <v>377</v>
      </c>
      <c r="E14" s="81"/>
      <c r="F14" s="81"/>
      <c r="G14" s="81"/>
      <c r="H14" s="81"/>
      <c r="I14" s="81"/>
      <c r="J14" s="81"/>
      <c r="K14" s="81"/>
      <c r="L14" s="182"/>
      <c r="M14" s="182"/>
    </row>
    <row r="15" spans="1:13" x14ac:dyDescent="0.25">
      <c r="A15" s="6" t="s">
        <v>391</v>
      </c>
      <c r="B15" s="185" t="s">
        <v>484</v>
      </c>
      <c r="C15" s="152" t="s">
        <v>468</v>
      </c>
      <c r="D15" s="6" t="s">
        <v>377</v>
      </c>
      <c r="E15" s="81"/>
      <c r="F15" s="81"/>
      <c r="G15" s="81"/>
      <c r="H15" s="81"/>
      <c r="I15" s="81"/>
      <c r="J15" s="81"/>
      <c r="K15" s="81"/>
      <c r="L15" s="151">
        <v>800</v>
      </c>
      <c r="M15" s="151"/>
    </row>
    <row r="16" spans="1:13" ht="60" x14ac:dyDescent="0.25">
      <c r="A16" s="6" t="s">
        <v>393</v>
      </c>
      <c r="B16" s="185" t="s">
        <v>485</v>
      </c>
      <c r="C16" s="6" t="s">
        <v>380</v>
      </c>
      <c r="D16" s="6" t="s">
        <v>377</v>
      </c>
      <c r="E16" s="81"/>
      <c r="F16" s="81"/>
      <c r="G16" s="81"/>
      <c r="H16" s="81">
        <v>249</v>
      </c>
      <c r="I16" s="81"/>
      <c r="J16" s="81"/>
      <c r="K16" s="81">
        <v>130</v>
      </c>
      <c r="L16" s="151"/>
      <c r="M16" s="151"/>
    </row>
    <row r="17" spans="1:13" ht="45" x14ac:dyDescent="0.25">
      <c r="A17" s="6" t="s">
        <v>394</v>
      </c>
      <c r="B17" s="185" t="s">
        <v>412</v>
      </c>
      <c r="C17" s="6" t="s">
        <v>380</v>
      </c>
      <c r="D17" s="6" t="s">
        <v>381</v>
      </c>
      <c r="E17" s="81"/>
      <c r="F17" s="81"/>
      <c r="G17" s="81"/>
      <c r="H17" s="81">
        <v>281</v>
      </c>
      <c r="I17" s="81"/>
      <c r="J17" s="81"/>
      <c r="K17" s="81">
        <v>9600</v>
      </c>
      <c r="L17" s="151">
        <v>6680</v>
      </c>
      <c r="M17" s="151"/>
    </row>
    <row r="18" spans="1:13" ht="30" x14ac:dyDescent="0.25">
      <c r="A18" s="6" t="s">
        <v>395</v>
      </c>
      <c r="B18" s="185" t="s">
        <v>486</v>
      </c>
      <c r="C18" s="6" t="s">
        <v>380</v>
      </c>
      <c r="D18" s="6" t="s">
        <v>377</v>
      </c>
      <c r="E18" s="81"/>
      <c r="F18" s="81"/>
      <c r="G18" s="81"/>
      <c r="H18" s="81"/>
      <c r="I18" s="81">
        <v>3310</v>
      </c>
      <c r="J18" s="81"/>
      <c r="K18" s="81"/>
      <c r="L18" s="151">
        <v>3556</v>
      </c>
      <c r="M18" s="151"/>
    </row>
    <row r="19" spans="1:13" x14ac:dyDescent="0.25">
      <c r="A19" s="6" t="s">
        <v>475</v>
      </c>
      <c r="B19" s="185" t="s">
        <v>476</v>
      </c>
      <c r="C19" s="6" t="s">
        <v>380</v>
      </c>
      <c r="D19" s="6" t="s">
        <v>381</v>
      </c>
      <c r="E19" s="81"/>
      <c r="F19" s="81"/>
      <c r="G19" s="81"/>
      <c r="H19" s="81"/>
      <c r="I19" s="81"/>
      <c r="J19" s="81"/>
      <c r="K19" s="81"/>
      <c r="L19" s="182"/>
      <c r="M19" s="182"/>
    </row>
    <row r="20" spans="1:13" ht="30" customHeight="1" x14ac:dyDescent="0.25">
      <c r="A20" s="6" t="s">
        <v>477</v>
      </c>
      <c r="B20" s="185" t="s">
        <v>478</v>
      </c>
      <c r="C20" s="6" t="s">
        <v>380</v>
      </c>
      <c r="D20" s="6" t="s">
        <v>381</v>
      </c>
      <c r="E20" s="81"/>
      <c r="F20" s="81"/>
      <c r="G20" s="81"/>
      <c r="H20" s="81"/>
      <c r="I20" s="81"/>
      <c r="J20" s="81"/>
      <c r="K20" s="81"/>
      <c r="L20" s="182"/>
      <c r="M20" s="182"/>
    </row>
    <row r="21" spans="1:13" x14ac:dyDescent="0.25">
      <c r="A21" s="6" t="s">
        <v>396</v>
      </c>
      <c r="B21" s="185" t="s">
        <v>397</v>
      </c>
      <c r="C21" s="152" t="s">
        <v>380</v>
      </c>
      <c r="D21" s="6" t="s">
        <v>381</v>
      </c>
      <c r="E21" s="81"/>
      <c r="F21" s="81"/>
      <c r="G21" s="81"/>
      <c r="H21" s="81"/>
      <c r="I21" s="81"/>
      <c r="J21" s="81"/>
      <c r="K21" s="81"/>
      <c r="L21" s="151">
        <v>500</v>
      </c>
      <c r="M21" s="151"/>
    </row>
    <row r="22" spans="1:13" ht="15.75" customHeight="1" x14ac:dyDescent="0.25">
      <c r="A22" s="6" t="s">
        <v>398</v>
      </c>
      <c r="B22" s="185" t="s">
        <v>413</v>
      </c>
      <c r="C22" s="6" t="s">
        <v>380</v>
      </c>
      <c r="D22" s="6" t="s">
        <v>381</v>
      </c>
      <c r="E22" s="81">
        <v>4190</v>
      </c>
      <c r="F22" s="81">
        <v>8890</v>
      </c>
      <c r="G22" s="81">
        <v>7640</v>
      </c>
      <c r="H22" s="81">
        <v>2910</v>
      </c>
      <c r="I22" s="81">
        <v>7390</v>
      </c>
      <c r="J22" s="81">
        <v>3340</v>
      </c>
      <c r="K22" s="81">
        <v>9700</v>
      </c>
      <c r="L22" s="151">
        <v>12920</v>
      </c>
      <c r="M22" s="151"/>
    </row>
    <row r="23" spans="1:13" ht="15.75" customHeight="1" x14ac:dyDescent="0.25">
      <c r="A23" s="6" t="s">
        <v>399</v>
      </c>
      <c r="B23" s="185" t="s">
        <v>416</v>
      </c>
      <c r="C23" s="152" t="s">
        <v>380</v>
      </c>
      <c r="D23" s="6" t="s">
        <v>381</v>
      </c>
      <c r="E23" s="81"/>
      <c r="F23" s="81"/>
      <c r="G23" s="81"/>
      <c r="H23" s="81"/>
      <c r="I23" s="81"/>
      <c r="J23" s="81"/>
      <c r="K23" s="81"/>
      <c r="L23" s="151">
        <v>380</v>
      </c>
      <c r="M23" s="151"/>
    </row>
    <row r="24" spans="1:13" ht="45" x14ac:dyDescent="0.25">
      <c r="A24" s="6" t="s">
        <v>400</v>
      </c>
      <c r="B24" s="185" t="s">
        <v>487</v>
      </c>
      <c r="C24" s="6" t="s">
        <v>376</v>
      </c>
      <c r="D24" s="6" t="s">
        <v>377</v>
      </c>
      <c r="E24" s="81"/>
      <c r="F24" s="81"/>
      <c r="G24" s="81"/>
      <c r="H24" s="81"/>
      <c r="I24" s="81"/>
      <c r="J24" s="81"/>
      <c r="K24" s="81">
        <v>180</v>
      </c>
      <c r="L24" s="151">
        <v>245</v>
      </c>
      <c r="M24" s="151"/>
    </row>
    <row r="25" spans="1:13" ht="30" x14ac:dyDescent="0.25">
      <c r="A25" s="6" t="s">
        <v>401</v>
      </c>
      <c r="B25" s="185" t="s">
        <v>488</v>
      </c>
      <c r="C25" s="6" t="s">
        <v>376</v>
      </c>
      <c r="D25" s="6" t="s">
        <v>377</v>
      </c>
      <c r="E25" s="81"/>
      <c r="F25" s="81"/>
      <c r="G25" s="81"/>
      <c r="H25" s="81">
        <v>281</v>
      </c>
      <c r="I25" s="81"/>
      <c r="J25" s="81"/>
      <c r="K25" s="81">
        <v>15</v>
      </c>
      <c r="L25" s="151">
        <v>10</v>
      </c>
      <c r="M25" s="151"/>
    </row>
    <row r="26" spans="1:13" ht="15" customHeight="1" x14ac:dyDescent="0.25">
      <c r="A26" s="6" t="s">
        <v>402</v>
      </c>
      <c r="B26" s="185" t="s">
        <v>414</v>
      </c>
      <c r="C26" s="6" t="s">
        <v>380</v>
      </c>
      <c r="D26" s="6" t="s">
        <v>381</v>
      </c>
      <c r="E26" s="81"/>
      <c r="F26" s="81"/>
      <c r="G26" s="81"/>
      <c r="H26" s="81"/>
      <c r="I26" s="81"/>
      <c r="J26" s="81">
        <v>4180</v>
      </c>
      <c r="K26" s="81">
        <v>2500</v>
      </c>
      <c r="L26" s="151">
        <v>7120</v>
      </c>
      <c r="M26" s="151"/>
    </row>
    <row r="27" spans="1:13" ht="15" customHeight="1" x14ac:dyDescent="0.25">
      <c r="A27" s="6" t="s">
        <v>403</v>
      </c>
      <c r="B27" s="185" t="s">
        <v>415</v>
      </c>
      <c r="C27" s="6" t="s">
        <v>404</v>
      </c>
      <c r="D27" s="6" t="s">
        <v>381</v>
      </c>
      <c r="E27" s="81"/>
      <c r="F27" s="81"/>
      <c r="G27" s="81"/>
      <c r="H27" s="81"/>
      <c r="I27" s="81">
        <v>8000</v>
      </c>
      <c r="J27" s="81"/>
      <c r="K27" s="81"/>
      <c r="L27" s="151"/>
      <c r="M27" s="151"/>
    </row>
    <row r="28" spans="1:13" ht="15" customHeight="1" x14ac:dyDescent="0.25">
      <c r="A28" s="6"/>
      <c r="B28" s="6"/>
      <c r="C28" s="6"/>
      <c r="D28" s="6"/>
      <c r="E28" s="81">
        <f t="shared" ref="E28:L28" si="0">SUBTOTAL(109,E5:E27)</f>
        <v>104680</v>
      </c>
      <c r="F28" s="81">
        <f t="shared" si="0"/>
        <v>119474</v>
      </c>
      <c r="G28" s="81">
        <f t="shared" si="0"/>
        <v>100468</v>
      </c>
      <c r="H28" s="81">
        <f t="shared" si="0"/>
        <v>92925</v>
      </c>
      <c r="I28" s="81">
        <f t="shared" si="0"/>
        <v>113270</v>
      </c>
      <c r="J28" s="81">
        <f t="shared" si="0"/>
        <v>116390</v>
      </c>
      <c r="K28" s="81">
        <f t="shared" si="0"/>
        <v>172745</v>
      </c>
      <c r="L28" s="81">
        <f t="shared" si="0"/>
        <v>383951</v>
      </c>
      <c r="M28" s="81"/>
    </row>
    <row r="29" spans="1:13" ht="15" customHeight="1" x14ac:dyDescent="0.25">
      <c r="E29" s="82"/>
      <c r="F29" s="82">
        <f>('15. Rifiuti in uscita'!$F$28-'15. Rifiuti in uscita'!$E$28)/'15. Rifiuti in uscita'!$E$28</f>
        <v>0.14132594573939625</v>
      </c>
      <c r="G29" s="82">
        <f>('15. Rifiuti in uscita'!$G$28-'15. Rifiuti in uscita'!$F$28)/'15. Rifiuti in uscita'!$F$28</f>
        <v>-0.15908063679126838</v>
      </c>
      <c r="H29" s="82">
        <f>('15. Rifiuti in uscita'!$H$28-'15. Rifiuti in uscita'!$G$28)/'15. Rifiuti in uscita'!$G$28</f>
        <v>-7.507863200222957E-2</v>
      </c>
      <c r="I29" s="82">
        <f>('15. Rifiuti in uscita'!$I$28-'15. Rifiuti in uscita'!$H$28)/'15. Rifiuti in uscita'!$H$28</f>
        <v>0.21894000538068334</v>
      </c>
      <c r="J29" s="82">
        <f>('15. Rifiuti in uscita'!$J$28-'15. Rifiuti in uscita'!$I$28)/'15. Rifiuti in uscita'!$I$28</f>
        <v>2.7544804449545334E-2</v>
      </c>
      <c r="K29" s="82">
        <f>('15. Rifiuti in uscita'!$K$28-'15. Rifiuti in uscita'!$J$28)/'15. Rifiuti in uscita'!$J$28</f>
        <v>0.48419108170805053</v>
      </c>
      <c r="L29" s="82">
        <f>(Tabella_15_Rifiuti[[#Totals],[Quantità prodotta
'[kg']
2024]]-Tabella_15_Rifiuti[[#Totals],[Quantità prodotta
'[kg']
2023]])/Tabella_15_Rifiuti[[#Totals],[Quantità prodotta
'[kg']
2023]]</f>
        <v>1.2226460968479551</v>
      </c>
      <c r="M29" s="82"/>
    </row>
  </sheetData>
  <phoneticPr fontId="28" type="noConversion"/>
  <pageMargins left="0.70866141732283472" right="0.70866141732283472" top="0.74803149606299213" bottom="0.74803149606299213" header="0" footer="0"/>
  <pageSetup paperSize="9" orientation="landscape" r:id="rId1"/>
  <headerFooter>
    <oddFooter>&amp;L&amp;A&amp;R&amp;F</oddFooter>
  </headerFooter>
  <ignoredErrors>
    <ignoredError sqref="B5 B9:B12 B17 B7 B19:B23 B26:B27" numberStoredAsText="1"/>
  </ignoredError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40"/>
  <sheetViews>
    <sheetView showGridLines="0" workbookViewId="0">
      <selection activeCell="I3" sqref="I3"/>
    </sheetView>
  </sheetViews>
  <sheetFormatPr defaultColWidth="14.42578125" defaultRowHeight="15" customHeight="1" x14ac:dyDescent="0.25"/>
  <cols>
    <col min="1" max="1" width="18.28515625" style="144" bestFit="1" customWidth="1"/>
    <col min="2" max="4" width="7.5703125" style="144" bestFit="1" customWidth="1"/>
    <col min="5" max="5" width="6.5703125" style="144" bestFit="1" customWidth="1"/>
    <col min="6" max="9" width="7.5703125" style="144" bestFit="1" customWidth="1"/>
    <col min="10" max="10" width="6.5703125" style="144" bestFit="1" customWidth="1"/>
    <col min="11" max="11" width="7.5703125" style="144" customWidth="1"/>
    <col min="12" max="12" width="5" style="144" customWidth="1"/>
    <col min="13" max="22" width="10.7109375" style="144" customWidth="1"/>
    <col min="23" max="28" width="8.7109375" style="144" customWidth="1"/>
    <col min="29" max="16384" width="14.42578125" style="144"/>
  </cols>
  <sheetData>
    <row r="1" spans="1:22" ht="15" customHeight="1" x14ac:dyDescent="0.25">
      <c r="A1" s="165" t="s">
        <v>3</v>
      </c>
      <c r="B1" s="166" t="s">
        <v>141</v>
      </c>
      <c r="C1" s="167" t="s">
        <v>142</v>
      </c>
      <c r="D1" s="167" t="s">
        <v>143</v>
      </c>
      <c r="E1" s="167" t="s">
        <v>144</v>
      </c>
      <c r="F1" s="167" t="s">
        <v>145</v>
      </c>
      <c r="G1" s="167" t="s">
        <v>146</v>
      </c>
      <c r="H1" s="167" t="s">
        <v>25</v>
      </c>
      <c r="I1" s="167" t="s">
        <v>26</v>
      </c>
      <c r="J1" s="168" t="s">
        <v>27</v>
      </c>
      <c r="K1" s="136"/>
    </row>
    <row r="2" spans="1:22" x14ac:dyDescent="0.25">
      <c r="A2" s="166" t="s">
        <v>381</v>
      </c>
      <c r="B2" s="169">
        <v>104680</v>
      </c>
      <c r="C2" s="170">
        <v>119474</v>
      </c>
      <c r="D2" s="170">
        <v>100468</v>
      </c>
      <c r="E2" s="170">
        <v>90895</v>
      </c>
      <c r="F2" s="170">
        <v>108830</v>
      </c>
      <c r="G2" s="170">
        <v>116390</v>
      </c>
      <c r="H2" s="170">
        <v>171335</v>
      </c>
      <c r="I2" s="170">
        <v>378140</v>
      </c>
      <c r="J2" s="171">
        <v>38860</v>
      </c>
      <c r="K2" s="172"/>
      <c r="M2" s="2" t="s">
        <v>3</v>
      </c>
      <c r="N2" s="2" t="s">
        <v>384</v>
      </c>
      <c r="O2" s="2" t="s">
        <v>405</v>
      </c>
      <c r="P2" s="2" t="s">
        <v>392</v>
      </c>
      <c r="Q2" s="2" t="s">
        <v>406</v>
      </c>
      <c r="R2" s="2" t="s">
        <v>381</v>
      </c>
      <c r="S2" s="2" t="s">
        <v>407</v>
      </c>
      <c r="T2" s="2" t="s">
        <v>377</v>
      </c>
      <c r="U2" s="2" t="s">
        <v>408</v>
      </c>
      <c r="V2" s="2" t="s">
        <v>112</v>
      </c>
    </row>
    <row r="3" spans="1:22" x14ac:dyDescent="0.25">
      <c r="A3" s="173" t="s">
        <v>377</v>
      </c>
      <c r="B3" s="174"/>
      <c r="C3" s="175"/>
      <c r="D3" s="175"/>
      <c r="E3" s="175">
        <v>2030</v>
      </c>
      <c r="F3" s="175">
        <v>4440</v>
      </c>
      <c r="G3" s="175"/>
      <c r="H3" s="175">
        <v>1410</v>
      </c>
      <c r="I3" s="175">
        <v>5811</v>
      </c>
      <c r="J3" s="176">
        <v>79</v>
      </c>
      <c r="K3" s="172"/>
      <c r="M3" s="2" t="s">
        <v>140</v>
      </c>
      <c r="N3" s="7"/>
      <c r="O3" s="7"/>
      <c r="P3" s="7"/>
      <c r="Q3" s="7"/>
      <c r="R3" s="7"/>
      <c r="S3" s="7"/>
      <c r="T3" s="7"/>
      <c r="U3" s="7"/>
      <c r="V3" s="7"/>
    </row>
    <row r="4" spans="1:22" x14ac:dyDescent="0.25">
      <c r="A4" s="177" t="s">
        <v>409</v>
      </c>
      <c r="B4" s="178">
        <v>104680</v>
      </c>
      <c r="C4" s="179">
        <v>119474</v>
      </c>
      <c r="D4" s="179">
        <v>100468</v>
      </c>
      <c r="E4" s="179">
        <v>92925</v>
      </c>
      <c r="F4" s="179">
        <v>113270</v>
      </c>
      <c r="G4" s="179">
        <v>116390</v>
      </c>
      <c r="H4" s="179">
        <v>172745</v>
      </c>
      <c r="I4" s="179">
        <v>383951</v>
      </c>
      <c r="J4" s="180">
        <v>38939</v>
      </c>
      <c r="K4" s="172"/>
      <c r="M4" s="2" t="s">
        <v>141</v>
      </c>
      <c r="N4" s="7"/>
      <c r="O4" s="164">
        <f>'Rifiuti Pivot'!$N4/'Rifiuti Pivot'!$V4</f>
        <v>0</v>
      </c>
      <c r="P4" s="7">
        <v>104680</v>
      </c>
      <c r="Q4" s="164">
        <f>'Rifiuti Pivot'!$P4/'Rifiuti Pivot'!$V4</f>
        <v>1</v>
      </c>
      <c r="R4" s="7">
        <v>104680</v>
      </c>
      <c r="S4" s="164">
        <f>'Rifiuti Pivot'!$R4/'Rifiuti Pivot'!$V4</f>
        <v>1</v>
      </c>
      <c r="T4" s="7"/>
      <c r="U4" s="164">
        <f>'Rifiuti Pivot'!$T4/'Rifiuti Pivot'!$V4</f>
        <v>0</v>
      </c>
      <c r="V4" s="7">
        <f>GETPIVOTDATA("2017",$A$7)</f>
        <v>104680</v>
      </c>
    </row>
    <row r="5" spans="1:22" x14ac:dyDescent="0.25">
      <c r="M5" s="2" t="s">
        <v>142</v>
      </c>
      <c r="N5" s="7"/>
      <c r="O5" s="164">
        <f>'Rifiuti Pivot'!$N5/'Rifiuti Pivot'!$V5</f>
        <v>0</v>
      </c>
      <c r="P5" s="7">
        <v>119474</v>
      </c>
      <c r="Q5" s="164">
        <f>'Rifiuti Pivot'!$P5/'Rifiuti Pivot'!$V5</f>
        <v>1</v>
      </c>
      <c r="R5" s="7">
        <v>119474</v>
      </c>
      <c r="S5" s="164">
        <f>'Rifiuti Pivot'!$R5/'Rifiuti Pivot'!$V5</f>
        <v>1</v>
      </c>
      <c r="T5" s="7"/>
      <c r="U5" s="164">
        <f>'Rifiuti Pivot'!$T5/'Rifiuti Pivot'!$V5</f>
        <v>0</v>
      </c>
      <c r="V5" s="7">
        <f>GETPIVOTDATA("2018",$A$7)</f>
        <v>119474</v>
      </c>
    </row>
    <row r="6" spans="1:22" x14ac:dyDescent="0.25">
      <c r="M6" s="2" t="s">
        <v>143</v>
      </c>
      <c r="N6" s="7"/>
      <c r="O6" s="164">
        <f>'Rifiuti Pivot'!$N6/'Rifiuti Pivot'!$V6</f>
        <v>0</v>
      </c>
      <c r="P6" s="7">
        <v>100468</v>
      </c>
      <c r="Q6" s="164">
        <f>'Rifiuti Pivot'!$P6/'Rifiuti Pivot'!$V6</f>
        <v>1</v>
      </c>
      <c r="R6" s="7">
        <v>100468</v>
      </c>
      <c r="S6" s="164">
        <f>'Rifiuti Pivot'!$R6/'Rifiuti Pivot'!$V6</f>
        <v>1</v>
      </c>
      <c r="T6" s="7"/>
      <c r="U6" s="164">
        <f>'Rifiuti Pivot'!$T6/'Rifiuti Pivot'!$V6</f>
        <v>0</v>
      </c>
      <c r="V6" s="7">
        <f>GETPIVOTDATA("2019",$A$7)</f>
        <v>100468</v>
      </c>
    </row>
    <row r="7" spans="1:22" x14ac:dyDescent="0.25">
      <c r="A7" s="165" t="s">
        <v>3</v>
      </c>
      <c r="B7" s="166" t="s">
        <v>141</v>
      </c>
      <c r="C7" s="167" t="s">
        <v>142</v>
      </c>
      <c r="D7" s="167" t="s">
        <v>143</v>
      </c>
      <c r="E7" s="167" t="s">
        <v>144</v>
      </c>
      <c r="F7" s="167" t="s">
        <v>145</v>
      </c>
      <c r="G7" s="167" t="s">
        <v>146</v>
      </c>
      <c r="H7" s="167" t="s">
        <v>25</v>
      </c>
      <c r="I7" s="167" t="s">
        <v>26</v>
      </c>
      <c r="J7" s="168" t="s">
        <v>27</v>
      </c>
      <c r="K7" s="136"/>
      <c r="M7" s="2" t="s">
        <v>144</v>
      </c>
      <c r="N7" s="7">
        <v>1781</v>
      </c>
      <c r="O7" s="164">
        <f>'Rifiuti Pivot'!$N7/'Rifiuti Pivot'!$V7</f>
        <v>1.9165994081248319E-2</v>
      </c>
      <c r="P7" s="7">
        <v>91144</v>
      </c>
      <c r="Q7" s="164">
        <f>'Rifiuti Pivot'!$P7/'Rifiuti Pivot'!$V7</f>
        <v>0.98083400591875169</v>
      </c>
      <c r="R7" s="7">
        <v>90895</v>
      </c>
      <c r="S7" s="164">
        <f>'Rifiuti Pivot'!$R7/'Rifiuti Pivot'!$V7</f>
        <v>0.97815442561205268</v>
      </c>
      <c r="T7" s="7">
        <v>2030</v>
      </c>
      <c r="U7" s="164">
        <f>'Rifiuti Pivot'!$T7/'Rifiuti Pivot'!$V7</f>
        <v>2.1845574387947268E-2</v>
      </c>
      <c r="V7" s="7">
        <f>GETPIVOTDATA("2020",$A$7)</f>
        <v>92925</v>
      </c>
    </row>
    <row r="8" spans="1:22" x14ac:dyDescent="0.25">
      <c r="A8" s="166" t="s">
        <v>376</v>
      </c>
      <c r="B8" s="169"/>
      <c r="C8" s="170"/>
      <c r="D8" s="170"/>
      <c r="E8" s="170">
        <v>281</v>
      </c>
      <c r="F8" s="170">
        <v>610</v>
      </c>
      <c r="G8" s="170"/>
      <c r="H8" s="170">
        <v>235</v>
      </c>
      <c r="I8" s="170">
        <v>405</v>
      </c>
      <c r="J8" s="171">
        <v>59</v>
      </c>
      <c r="K8" s="172"/>
      <c r="M8" s="2" t="s">
        <v>145</v>
      </c>
      <c r="N8" s="7">
        <v>12440</v>
      </c>
      <c r="O8" s="164">
        <f>'Rifiuti Pivot'!$N8/'Rifiuti Pivot'!$V8</f>
        <v>0.10982607927959742</v>
      </c>
      <c r="P8" s="7">
        <v>100830</v>
      </c>
      <c r="Q8" s="164">
        <f>'Rifiuti Pivot'!$P8/'Rifiuti Pivot'!$V8</f>
        <v>0.89017392072040258</v>
      </c>
      <c r="R8" s="7">
        <v>108830</v>
      </c>
      <c r="S8" s="164">
        <f>'Rifiuti Pivot'!$R8/'Rifiuti Pivot'!$V8</f>
        <v>0.96080162443718553</v>
      </c>
      <c r="T8" s="7">
        <v>4440</v>
      </c>
      <c r="U8" s="164">
        <f>'Rifiuti Pivot'!$T8/'Rifiuti Pivot'!$V8</f>
        <v>3.9198375562814511E-2</v>
      </c>
      <c r="V8" s="7">
        <f>GETPIVOTDATA("2021",$A$7)</f>
        <v>113270</v>
      </c>
    </row>
    <row r="9" spans="1:22" x14ac:dyDescent="0.25">
      <c r="A9" s="173" t="s">
        <v>404</v>
      </c>
      <c r="B9" s="174"/>
      <c r="C9" s="175"/>
      <c r="D9" s="175"/>
      <c r="E9" s="175"/>
      <c r="F9" s="175">
        <v>8000</v>
      </c>
      <c r="G9" s="175"/>
      <c r="H9" s="175"/>
      <c r="I9" s="175"/>
      <c r="J9" s="176">
        <v>0</v>
      </c>
      <c r="K9" s="172"/>
      <c r="M9" s="2" t="s">
        <v>146</v>
      </c>
      <c r="N9" s="7"/>
      <c r="O9" s="164">
        <f>'Rifiuti Pivot'!$N9/'Rifiuti Pivot'!$V9</f>
        <v>0</v>
      </c>
      <c r="P9" s="7">
        <v>116390</v>
      </c>
      <c r="Q9" s="164">
        <f>'Rifiuti Pivot'!$P9/'Rifiuti Pivot'!$V9</f>
        <v>1</v>
      </c>
      <c r="R9" s="7">
        <v>116390</v>
      </c>
      <c r="S9" s="164">
        <f>'Rifiuti Pivot'!$R9/'Rifiuti Pivot'!$V9</f>
        <v>1</v>
      </c>
      <c r="T9" s="7"/>
      <c r="U9" s="164">
        <f>'Rifiuti Pivot'!$T9/'Rifiuti Pivot'!$V9</f>
        <v>0</v>
      </c>
      <c r="V9" s="7">
        <f>GETPIVOTDATA("2022",$A$7)</f>
        <v>116390</v>
      </c>
    </row>
    <row r="10" spans="1:22" x14ac:dyDescent="0.25">
      <c r="A10" s="173" t="s">
        <v>469</v>
      </c>
      <c r="B10" s="174"/>
      <c r="C10" s="175"/>
      <c r="D10" s="175"/>
      <c r="E10" s="175"/>
      <c r="F10" s="175"/>
      <c r="G10" s="175"/>
      <c r="H10" s="175"/>
      <c r="I10" s="175">
        <v>224860</v>
      </c>
      <c r="J10" s="176">
        <v>0</v>
      </c>
      <c r="K10" s="172"/>
      <c r="L10" s="2"/>
      <c r="M10" s="2" t="s">
        <v>25</v>
      </c>
      <c r="N10" s="7">
        <f>GETPIVOTDATA("2023",$A$7,"Smaltimento (D) / Recupero (R)","D15")</f>
        <v>235</v>
      </c>
      <c r="O10" s="164">
        <f>'Rifiuti Pivot'!$N10/'Rifiuti Pivot'!$V10</f>
        <v>1.3603866971547657E-3</v>
      </c>
      <c r="P10" s="7">
        <f>GETPIVOTDATA("2023",$A$7,"Smaltimento (D) / Recupero (R)","R13")</f>
        <v>172510</v>
      </c>
      <c r="Q10" s="164">
        <f>'Rifiuti Pivot'!$P10/'Rifiuti Pivot'!$V10</f>
        <v>0.99863961330284523</v>
      </c>
      <c r="R10" s="7">
        <f>GETPIVOTDATA("2023",$A$1,"P / NP","NP")</f>
        <v>171335</v>
      </c>
      <c r="S10" s="164">
        <f>'Rifiuti Pivot'!$R10/'Rifiuti Pivot'!$V10</f>
        <v>0.99183767981707138</v>
      </c>
      <c r="T10" s="7">
        <f>GETPIVOTDATA("2023",$A$1,"P / NP","P")</f>
        <v>1410</v>
      </c>
      <c r="U10" s="164">
        <f>'Rifiuti Pivot'!$T10/'Rifiuti Pivot'!$V10</f>
        <v>8.1623201829285948E-3</v>
      </c>
      <c r="V10" s="7">
        <f>GETPIVOTDATA("2023",$A$7)</f>
        <v>172745</v>
      </c>
    </row>
    <row r="11" spans="1:22" x14ac:dyDescent="0.25">
      <c r="A11" s="173" t="s">
        <v>380</v>
      </c>
      <c r="B11" s="174">
        <v>104680</v>
      </c>
      <c r="C11" s="175">
        <v>119474</v>
      </c>
      <c r="D11" s="175">
        <v>100468</v>
      </c>
      <c r="E11" s="175">
        <v>92644</v>
      </c>
      <c r="F11" s="175">
        <v>104660</v>
      </c>
      <c r="G11" s="175">
        <v>116390</v>
      </c>
      <c r="H11" s="175">
        <v>172510</v>
      </c>
      <c r="I11" s="175">
        <v>157886</v>
      </c>
      <c r="J11" s="176">
        <v>35480</v>
      </c>
      <c r="K11" s="172"/>
      <c r="L11" s="2"/>
      <c r="M11" s="2" t="s">
        <v>26</v>
      </c>
      <c r="N11" s="7">
        <f>GETPIVOTDATA("2024",$A$7,"Smaltimento (D) / Recupero (R)","D15")+GETPIVOTDATA("2024",$A$7,"Smaltimento (D) / Recupero (R)","D8, D9")+GETPIVOTDATA("2024",$A$7,"Smaltimento (D) / Recupero (R)","D8, D9, D15")</f>
        <v>225265</v>
      </c>
      <c r="O11" s="164">
        <f>'Rifiuti Pivot'!$N11/'Rifiuti Pivot'!$V11</f>
        <v>0.58670246984641272</v>
      </c>
      <c r="P11" s="7">
        <f>GETPIVOTDATA("2024",$A$7,"Smaltimento (D) / Recupero (R)","R13")+GETPIVOTDATA("2024",$A$7,"Smaltimento (D) / Recupero (R)","R4")</f>
        <v>158686</v>
      </c>
      <c r="Q11" s="164">
        <f>'Rifiuti Pivot'!$P11/'Rifiuti Pivot'!$V11</f>
        <v>0.41329753015358733</v>
      </c>
      <c r="R11" s="7">
        <f>GETPIVOTDATA("2024",$A$1,"P / NP","NP")</f>
        <v>378140</v>
      </c>
      <c r="S11" s="164">
        <f>'Rifiuti Pivot'!$R11/'Rifiuti Pivot'!$V11</f>
        <v>0.9848652562436353</v>
      </c>
      <c r="T11" s="7">
        <f>GETPIVOTDATA("2024",$A$1,"P / NP","P")</f>
        <v>5811</v>
      </c>
      <c r="U11" s="164">
        <f>'Rifiuti Pivot'!$T11/'Rifiuti Pivot'!$V11</f>
        <v>1.5134743756364744E-2</v>
      </c>
      <c r="V11" s="7">
        <f>GETPIVOTDATA("2024",$A$7)</f>
        <v>383951</v>
      </c>
    </row>
    <row r="12" spans="1:22" x14ac:dyDescent="0.25">
      <c r="A12" s="173" t="s">
        <v>468</v>
      </c>
      <c r="B12" s="174"/>
      <c r="C12" s="175"/>
      <c r="D12" s="175"/>
      <c r="E12" s="175"/>
      <c r="F12" s="175"/>
      <c r="G12" s="175"/>
      <c r="H12" s="175"/>
      <c r="I12" s="175">
        <v>800</v>
      </c>
      <c r="J12" s="176">
        <v>3400</v>
      </c>
      <c r="K12" s="172"/>
      <c r="M12" s="2">
        <v>2025</v>
      </c>
      <c r="N12" s="7">
        <f>GETPIVOTDATA("2025",$A$7,"Smaltimento (D) / Recupero (R)","D15")+GETPIVOTDATA("2025",$A$7,"Smaltimento (D) / Recupero (R)","D8, D9")+GETPIVOTDATA("2025",$A$7,"Smaltimento (D) / Recupero (R)","D8, D9, D15")</f>
        <v>59</v>
      </c>
      <c r="O12" s="164">
        <f>'Rifiuti Pivot'!$N12/'Rifiuti Pivot'!$V12</f>
        <v>1.5151904260510029E-3</v>
      </c>
      <c r="P12" s="7">
        <f>GETPIVOTDATA("2025",$A$7,"Smaltimento (D) / Recupero (R)","R13")+GETPIVOTDATA("2025",$A$7,"Smaltimento (D) / Recupero (R)","R4")</f>
        <v>38880</v>
      </c>
      <c r="Q12" s="164">
        <f>'Rifiuti Pivot'!$P12/'Rifiuti Pivot'!$V12</f>
        <v>0.99848480957394903</v>
      </c>
      <c r="R12" s="7">
        <f>GETPIVOTDATA("2025",$A$1,"P / NP","NP")</f>
        <v>38860</v>
      </c>
      <c r="S12" s="164">
        <f>'Rifiuti Pivot'!$R12/'Rifiuti Pivot'!$V12</f>
        <v>0.99797118570071142</v>
      </c>
      <c r="T12" s="7">
        <f>GETPIVOTDATA("2025",$A$1,"P / NP","P")</f>
        <v>79</v>
      </c>
      <c r="U12" s="164">
        <f>'Rifiuti Pivot'!$T12/'Rifiuti Pivot'!$V12</f>
        <v>2.0288142992886311E-3</v>
      </c>
      <c r="V12" s="7">
        <f>GETPIVOTDATA("2025",$A$7)</f>
        <v>38939</v>
      </c>
    </row>
    <row r="13" spans="1:22" x14ac:dyDescent="0.25">
      <c r="A13" s="177" t="s">
        <v>409</v>
      </c>
      <c r="B13" s="178">
        <v>104680</v>
      </c>
      <c r="C13" s="179">
        <v>119474</v>
      </c>
      <c r="D13" s="179">
        <v>100468</v>
      </c>
      <c r="E13" s="179">
        <v>92925</v>
      </c>
      <c r="F13" s="179">
        <v>113270</v>
      </c>
      <c r="G13" s="179">
        <v>116390</v>
      </c>
      <c r="H13" s="179">
        <v>172745</v>
      </c>
      <c r="I13" s="179">
        <v>383951</v>
      </c>
      <c r="J13" s="180">
        <v>38939</v>
      </c>
      <c r="K13" s="172"/>
      <c r="M13" s="2"/>
      <c r="N13" s="7"/>
      <c r="O13" s="164"/>
      <c r="P13" s="7"/>
      <c r="Q13" s="164"/>
      <c r="R13" s="7"/>
      <c r="S13" s="164"/>
      <c r="T13" s="7"/>
      <c r="U13" s="164"/>
      <c r="V13" s="7"/>
    </row>
    <row r="14" spans="1:22" x14ac:dyDescent="0.25"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165" t="s">
        <v>3</v>
      </c>
      <c r="B16" s="166" t="s">
        <v>141</v>
      </c>
      <c r="C16" s="167" t="s">
        <v>142</v>
      </c>
      <c r="D16" s="167" t="s">
        <v>143</v>
      </c>
      <c r="E16" s="167" t="s">
        <v>144</v>
      </c>
      <c r="F16" s="167" t="s">
        <v>145</v>
      </c>
      <c r="G16" s="167" t="s">
        <v>146</v>
      </c>
      <c r="H16" s="167" t="s">
        <v>25</v>
      </c>
      <c r="I16" s="167" t="s">
        <v>26</v>
      </c>
      <c r="J16" s="168" t="s">
        <v>27</v>
      </c>
      <c r="K16" s="136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166" t="s">
        <v>410</v>
      </c>
      <c r="B17" s="169">
        <v>55390</v>
      </c>
      <c r="C17" s="170">
        <v>59360</v>
      </c>
      <c r="D17" s="170">
        <v>44600</v>
      </c>
      <c r="E17" s="170">
        <v>30360</v>
      </c>
      <c r="F17" s="170">
        <v>31900</v>
      </c>
      <c r="G17" s="170">
        <v>44820</v>
      </c>
      <c r="H17" s="170">
        <v>56360</v>
      </c>
      <c r="I17" s="170">
        <v>54720</v>
      </c>
      <c r="J17" s="171">
        <v>11950</v>
      </c>
      <c r="K17" s="17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173" t="s">
        <v>411</v>
      </c>
      <c r="B18" s="174">
        <v>26160</v>
      </c>
      <c r="C18" s="175">
        <v>24164</v>
      </c>
      <c r="D18" s="175">
        <v>23760</v>
      </c>
      <c r="E18" s="175">
        <v>22760</v>
      </c>
      <c r="F18" s="175">
        <v>18730</v>
      </c>
      <c r="G18" s="175">
        <v>16240</v>
      </c>
      <c r="H18" s="175">
        <v>32650</v>
      </c>
      <c r="I18" s="175">
        <v>13690</v>
      </c>
      <c r="J18" s="176">
        <v>13390</v>
      </c>
      <c r="K18" s="17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173" t="s">
        <v>474</v>
      </c>
      <c r="B19" s="174"/>
      <c r="C19" s="175"/>
      <c r="D19" s="175"/>
      <c r="E19" s="175"/>
      <c r="F19" s="175"/>
      <c r="G19" s="175"/>
      <c r="H19" s="175"/>
      <c r="I19" s="175"/>
      <c r="J19" s="176">
        <v>3400</v>
      </c>
      <c r="K19" s="172"/>
    </row>
    <row r="20" spans="1:22" x14ac:dyDescent="0.25">
      <c r="A20" s="173" t="s">
        <v>389</v>
      </c>
      <c r="B20" s="174">
        <v>18940</v>
      </c>
      <c r="C20" s="175">
        <v>27060</v>
      </c>
      <c r="D20" s="175">
        <v>24440</v>
      </c>
      <c r="E20" s="175">
        <v>34560</v>
      </c>
      <c r="F20" s="175">
        <v>42810</v>
      </c>
      <c r="G20" s="175">
        <v>47810</v>
      </c>
      <c r="H20" s="175">
        <v>60480</v>
      </c>
      <c r="I20" s="175">
        <v>57270</v>
      </c>
      <c r="J20" s="176">
        <v>8150</v>
      </c>
      <c r="K20" s="172"/>
    </row>
    <row r="21" spans="1:22" ht="15.75" customHeight="1" x14ac:dyDescent="0.25">
      <c r="A21" s="177" t="s">
        <v>409</v>
      </c>
      <c r="B21" s="178">
        <v>100490</v>
      </c>
      <c r="C21" s="179">
        <v>110584</v>
      </c>
      <c r="D21" s="179">
        <v>92800</v>
      </c>
      <c r="E21" s="179">
        <v>87680</v>
      </c>
      <c r="F21" s="179">
        <v>93440</v>
      </c>
      <c r="G21" s="179">
        <v>108870</v>
      </c>
      <c r="H21" s="179">
        <v>149490</v>
      </c>
      <c r="I21" s="179">
        <v>125680</v>
      </c>
      <c r="J21" s="180">
        <v>36890</v>
      </c>
    </row>
    <row r="22" spans="1:22" x14ac:dyDescent="0.25">
      <c r="A22"/>
      <c r="B22"/>
      <c r="C22"/>
      <c r="D22"/>
      <c r="E22"/>
      <c r="F22"/>
      <c r="G22"/>
      <c r="H22"/>
      <c r="I22"/>
      <c r="J22"/>
      <c r="K22" s="181"/>
    </row>
    <row r="23" spans="1:22" x14ac:dyDescent="0.25">
      <c r="A23"/>
      <c r="B23"/>
      <c r="C23"/>
      <c r="D23"/>
      <c r="E23"/>
      <c r="F23"/>
      <c r="G23"/>
      <c r="H23"/>
      <c r="I23"/>
      <c r="J23"/>
      <c r="K23" s="24"/>
    </row>
    <row r="24" spans="1:22" x14ac:dyDescent="0.25">
      <c r="A24"/>
      <c r="B24"/>
      <c r="C24"/>
      <c r="D24"/>
      <c r="E24"/>
      <c r="F24"/>
      <c r="G24"/>
      <c r="H24"/>
      <c r="I24"/>
      <c r="J24"/>
    </row>
    <row r="25" spans="1:22" x14ac:dyDescent="0.25">
      <c r="A25"/>
      <c r="B25"/>
      <c r="C25"/>
      <c r="D25"/>
      <c r="E25"/>
      <c r="F25"/>
      <c r="G25"/>
      <c r="H25"/>
      <c r="I25"/>
      <c r="J25"/>
    </row>
    <row r="26" spans="1:22" ht="15.75" customHeight="1" x14ac:dyDescent="0.25">
      <c r="A26"/>
      <c r="B26"/>
      <c r="C26"/>
      <c r="D26"/>
      <c r="E26"/>
      <c r="F26"/>
      <c r="G26"/>
      <c r="H26"/>
      <c r="I26"/>
      <c r="J26"/>
    </row>
    <row r="27" spans="1:22" ht="15.75" customHeight="1" x14ac:dyDescent="0.25">
      <c r="A27"/>
      <c r="B27"/>
      <c r="C27"/>
      <c r="D27"/>
      <c r="E27"/>
      <c r="F27"/>
      <c r="G27"/>
      <c r="H27"/>
      <c r="I27"/>
      <c r="J27"/>
    </row>
    <row r="28" spans="1:22" ht="15.75" customHeight="1" x14ac:dyDescent="0.25">
      <c r="A28"/>
      <c r="B28"/>
      <c r="C28"/>
      <c r="D28"/>
      <c r="E28"/>
      <c r="F28"/>
      <c r="G28"/>
      <c r="H28"/>
      <c r="I28"/>
      <c r="J28"/>
    </row>
    <row r="29" spans="1:22" ht="15.75" customHeight="1" x14ac:dyDescent="0.25">
      <c r="A29"/>
      <c r="B29"/>
      <c r="C29"/>
      <c r="D29"/>
      <c r="E29"/>
      <c r="F29"/>
      <c r="G29"/>
      <c r="H29"/>
      <c r="I29"/>
      <c r="J29"/>
    </row>
    <row r="30" spans="1:22" x14ac:dyDescent="0.25">
      <c r="A30"/>
      <c r="B30"/>
      <c r="C30"/>
      <c r="D30"/>
      <c r="E30"/>
      <c r="F30"/>
      <c r="G30"/>
      <c r="H30"/>
      <c r="I30"/>
      <c r="J30"/>
    </row>
    <row r="31" spans="1:22" x14ac:dyDescent="0.25">
      <c r="A31"/>
      <c r="B31"/>
      <c r="C31"/>
      <c r="D31"/>
      <c r="E31"/>
      <c r="F31"/>
      <c r="G31"/>
      <c r="H31"/>
      <c r="I31"/>
      <c r="J31"/>
    </row>
    <row r="32" spans="1:22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ht="15" customHeight="1" x14ac:dyDescent="0.25">
      <c r="A37"/>
      <c r="B37"/>
      <c r="C37"/>
      <c r="D37"/>
      <c r="E37"/>
      <c r="F37"/>
      <c r="G37"/>
      <c r="H37"/>
      <c r="I37"/>
      <c r="J37"/>
    </row>
    <row r="38" spans="1:10" ht="15" customHeight="1" x14ac:dyDescent="0.25">
      <c r="A38"/>
      <c r="B38"/>
      <c r="C38"/>
      <c r="D38"/>
      <c r="E38"/>
      <c r="F38"/>
      <c r="G38"/>
      <c r="H38"/>
      <c r="I38"/>
      <c r="J38"/>
    </row>
    <row r="39" spans="1:10" ht="15" customHeight="1" x14ac:dyDescent="0.25">
      <c r="A39"/>
      <c r="B39"/>
      <c r="C39"/>
      <c r="D39"/>
      <c r="E39"/>
      <c r="F39"/>
      <c r="G39"/>
      <c r="H39"/>
      <c r="I39"/>
      <c r="J39"/>
    </row>
    <row r="40" spans="1:10" ht="15" customHeight="1" x14ac:dyDescent="0.25">
      <c r="A40"/>
      <c r="B40"/>
      <c r="C40"/>
      <c r="D40"/>
      <c r="E40"/>
      <c r="F40"/>
      <c r="G40"/>
      <c r="H40"/>
      <c r="I40"/>
      <c r="J40"/>
    </row>
  </sheetData>
  <pageMargins left="0.7" right="0.7" top="0.75" bottom="0.75" header="0" footer="0"/>
  <pageSetup orientation="landscape"/>
  <drawing r:id="rId4"/>
  <tableParts count="1"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A8D08D"/>
  </sheetPr>
  <dimension ref="A1:U13"/>
  <sheetViews>
    <sheetView showGridLines="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A7" sqref="A7"/>
    </sheetView>
  </sheetViews>
  <sheetFormatPr defaultColWidth="14.42578125" defaultRowHeight="15" customHeight="1" x14ac:dyDescent="0.25"/>
  <cols>
    <col min="1" max="1" width="50.7109375" customWidth="1"/>
    <col min="2" max="2" width="29.7109375" customWidth="1"/>
    <col min="3" max="21" width="10.7109375" customWidth="1"/>
    <col min="22" max="26" width="8.7109375" customWidth="1"/>
  </cols>
  <sheetData>
    <row r="1" spans="1:21" x14ac:dyDescent="0.25">
      <c r="A1" s="1" t="s">
        <v>417</v>
      </c>
      <c r="B1" s="6"/>
      <c r="C1" s="6"/>
      <c r="D1" s="6"/>
      <c r="E1" s="83"/>
      <c r="F1" s="83"/>
      <c r="G1" s="83"/>
      <c r="H1" s="83"/>
      <c r="I1" s="84"/>
      <c r="J1" s="83"/>
      <c r="K1" s="84"/>
      <c r="L1" s="83"/>
      <c r="M1" s="84"/>
      <c r="N1" s="83"/>
      <c r="O1" s="84"/>
      <c r="P1" s="83"/>
      <c r="Q1" s="84"/>
      <c r="R1" s="83"/>
      <c r="S1" s="83"/>
    </row>
    <row r="2" spans="1:21" x14ac:dyDescent="0.25">
      <c r="A2" s="1"/>
      <c r="B2" s="6"/>
      <c r="C2" s="6"/>
      <c r="D2" s="6"/>
      <c r="E2" s="83"/>
      <c r="F2" s="83"/>
      <c r="G2" s="83"/>
      <c r="H2" s="83"/>
      <c r="I2" s="84"/>
      <c r="J2" s="83"/>
      <c r="K2" s="84"/>
      <c r="L2" s="83"/>
      <c r="M2" s="84"/>
      <c r="N2" s="83"/>
      <c r="O2" s="84"/>
      <c r="P2" s="83"/>
      <c r="Q2" s="84"/>
      <c r="R2" s="83"/>
      <c r="S2" s="83"/>
    </row>
    <row r="3" spans="1:21" x14ac:dyDescent="0.25">
      <c r="A3" s="85" t="s">
        <v>418</v>
      </c>
      <c r="B3" s="6"/>
      <c r="C3" s="6"/>
      <c r="D3" s="6"/>
      <c r="E3" s="83"/>
      <c r="F3" s="83"/>
      <c r="G3" s="83"/>
      <c r="H3" s="83"/>
      <c r="I3" s="84"/>
      <c r="J3" s="83"/>
      <c r="K3" s="84"/>
      <c r="L3" s="83"/>
      <c r="M3" s="84"/>
      <c r="N3" s="83"/>
      <c r="O3" s="84"/>
      <c r="P3" s="83"/>
      <c r="Q3" s="84"/>
      <c r="R3" s="83"/>
      <c r="S3" s="83"/>
    </row>
    <row r="4" spans="1:21" x14ac:dyDescent="0.25">
      <c r="A4" s="6" t="s">
        <v>419</v>
      </c>
      <c r="B4" s="6" t="s">
        <v>129</v>
      </c>
      <c r="C4" s="6" t="s">
        <v>138</v>
      </c>
      <c r="D4" s="6" t="s">
        <v>139</v>
      </c>
      <c r="E4" s="6" t="s">
        <v>140</v>
      </c>
      <c r="F4" s="6" t="s">
        <v>141</v>
      </c>
      <c r="G4" s="6" t="s">
        <v>142</v>
      </c>
      <c r="H4" s="6" t="s">
        <v>143</v>
      </c>
      <c r="I4" s="37" t="s">
        <v>420</v>
      </c>
      <c r="J4" s="6" t="s">
        <v>144</v>
      </c>
      <c r="K4" s="37" t="s">
        <v>421</v>
      </c>
      <c r="L4" s="6" t="s">
        <v>145</v>
      </c>
      <c r="M4" s="37" t="s">
        <v>422</v>
      </c>
      <c r="N4" s="6" t="s">
        <v>146</v>
      </c>
      <c r="O4" s="37" t="s">
        <v>423</v>
      </c>
      <c r="P4" s="6" t="s">
        <v>25</v>
      </c>
      <c r="Q4" s="37" t="s">
        <v>424</v>
      </c>
      <c r="R4" s="6" t="s">
        <v>26</v>
      </c>
      <c r="S4" s="37" t="s">
        <v>425</v>
      </c>
      <c r="T4" s="150" t="s">
        <v>27</v>
      </c>
      <c r="U4" s="37" t="s">
        <v>470</v>
      </c>
    </row>
    <row r="5" spans="1:21" ht="30" customHeight="1" x14ac:dyDescent="0.25">
      <c r="A5" s="6" t="s">
        <v>426</v>
      </c>
      <c r="B5" s="6" t="s">
        <v>427</v>
      </c>
      <c r="C5" s="86">
        <f>'6. Consumo Risorse Idriche'!$G8/'4. Prodotti Finiti'!$F8</f>
        <v>51.902587478732407</v>
      </c>
      <c r="D5" s="86">
        <f>'6. Consumo Risorse Idriche'!$G9/'4. Prodotti Finiti'!$F9</f>
        <v>54.732503094723157</v>
      </c>
      <c r="E5" s="86">
        <f>'6. Consumo Risorse Idriche'!$G10/'4. Prodotti Finiti'!$F10</f>
        <v>46.593727277846192</v>
      </c>
      <c r="F5" s="86">
        <f>'6. Consumo Risorse Idriche'!$G11/'4. Prodotti Finiti'!$F11</f>
        <v>42.868800158626456</v>
      </c>
      <c r="G5" s="86">
        <f>'6. Consumo Risorse Idriche'!$G12/'4. Prodotti Finiti'!$F12</f>
        <v>37.805123084323263</v>
      </c>
      <c r="H5" s="86">
        <f>'6. Consumo Risorse Idriche'!$G13/'4. Prodotti Finiti'!$F13</f>
        <v>49.567211303520715</v>
      </c>
      <c r="I5" s="87">
        <f>('21. Indicatori Performance'!$H5-'21. Indicatori Performance'!$G5)/'21. Indicatori Performance'!$G5</f>
        <v>0.31112418792983282</v>
      </c>
      <c r="J5" s="86">
        <f>'6. Consumo Risorse Idriche'!$G14/'4. Prodotti Finiti'!$F14</f>
        <v>55.347387506193016</v>
      </c>
      <c r="K5" s="87">
        <f>('21. Indicatori Performance'!$J5-'21. Indicatori Performance'!$H5)/'21. Indicatori Performance'!$H5</f>
        <v>0.11661289894397872</v>
      </c>
      <c r="L5" s="86">
        <f>'6. Consumo Risorse Idriche'!$G15/'4. Prodotti Finiti'!$F15</f>
        <v>55.164959845566074</v>
      </c>
      <c r="M5" s="87">
        <f>('21. Indicatori Performance'!$L5-'21. Indicatori Performance'!$J5)/'21. Indicatori Performance'!$J5</f>
        <v>-3.2960482661720876E-3</v>
      </c>
      <c r="N5" s="86">
        <f>'6. Consumo Risorse Idriche'!$G16/'4. Prodotti Finiti'!$F16</f>
        <v>52.858440416400228</v>
      </c>
      <c r="O5" s="87">
        <f>('21. Indicatori Performance'!$N5-'21. Indicatori Performance'!$L5)/'21. Indicatori Performance'!$L5</f>
        <v>-4.1811313479116652E-2</v>
      </c>
      <c r="P5" s="86">
        <f>'6. Consumo Risorse Idriche'!$G17/'4. Prodotti Finiti'!$F17</f>
        <v>79.597670241127517</v>
      </c>
      <c r="Q5" s="87">
        <f>('21. Indicatori Performance'!$P5-'21. Indicatori Performance'!$N5)/'21. Indicatori Performance'!$N5</f>
        <v>0.50586490282507446</v>
      </c>
      <c r="R5" s="86">
        <f>'6. Consumo Risorse Idriche'!$G18/'4. Prodotti Finiti'!$F18</f>
        <v>58.200047878415795</v>
      </c>
      <c r="S5" s="87">
        <f>('21. Indicatori Performance'!$R5-'21. Indicatori Performance'!$P5)/'21. Indicatori Performance'!$P5</f>
        <v>-0.26882221926711281</v>
      </c>
      <c r="T5" s="86"/>
      <c r="U5" s="87"/>
    </row>
    <row r="6" spans="1:21" ht="30" customHeight="1" x14ac:dyDescent="0.25">
      <c r="A6" s="6" t="s">
        <v>428</v>
      </c>
      <c r="B6" s="6" t="s">
        <v>429</v>
      </c>
      <c r="C6" s="86">
        <f>'6. Consumo Risorse Idriche'!$N8/'4. Prodotti Finiti'!$D8</f>
        <v>70.488631905868203</v>
      </c>
      <c r="D6" s="86">
        <f>'6. Consumo Risorse Idriche'!$N9/'4. Prodotti Finiti'!$D9</f>
        <v>65.828341185865867</v>
      </c>
      <c r="E6" s="86">
        <f>'6. Consumo Risorse Idriche'!$N10/'4. Prodotti Finiti'!$D10</f>
        <v>64.001598384835347</v>
      </c>
      <c r="F6" s="86">
        <f>'6. Consumo Risorse Idriche'!$N11/'4. Prodotti Finiti'!$D11</f>
        <v>58.499497398836311</v>
      </c>
      <c r="G6" s="86">
        <f>'6. Consumo Risorse Idriche'!$N12/'4. Prodotti Finiti'!$D12</f>
        <v>54.576552232707641</v>
      </c>
      <c r="H6" s="86">
        <f>'6. Consumo Risorse Idriche'!$N13/'4. Prodotti Finiti'!$D13</f>
        <v>72.064857310239546</v>
      </c>
      <c r="I6" s="87">
        <f>('21. Indicatori Performance'!$H6-'21. Indicatori Performance'!$G6)/'21. Indicatori Performance'!$G6</f>
        <v>0.320436237946361</v>
      </c>
      <c r="J6" s="86">
        <f>'6. Consumo Risorse Idriche'!$N14/'4. Prodotti Finiti'!$D14</f>
        <v>94.753437213565533</v>
      </c>
      <c r="K6" s="87">
        <f>('21. Indicatori Performance'!$J6-'21. Indicatori Performance'!$H6)/'21. Indicatori Performance'!$H6</f>
        <v>0.31483556271611757</v>
      </c>
      <c r="L6" s="86">
        <f>'6. Consumo Risorse Idriche'!$N15/'4. Prodotti Finiti'!$D15</f>
        <v>96.718437237473935</v>
      </c>
      <c r="M6" s="87">
        <f>('21. Indicatori Performance'!$L6-'21. Indicatori Performance'!$J6)/'21. Indicatori Performance'!$J6</f>
        <v>2.0738034225391454E-2</v>
      </c>
      <c r="N6" s="86">
        <f>'6. Consumo Risorse Idriche'!$N16/'4. Prodotti Finiti'!$D16</f>
        <v>83.417768128694107</v>
      </c>
      <c r="O6" s="87">
        <f>('21. Indicatori Performance'!$N6-'21. Indicatori Performance'!$L6)/'21. Indicatori Performance'!$L6</f>
        <v>-0.1375194791053389</v>
      </c>
      <c r="P6" s="86">
        <f>'6. Consumo Risorse Idriche'!$N17/'4. Prodotti Finiti'!$D17</f>
        <v>113.43018368016919</v>
      </c>
      <c r="Q6" s="87">
        <f>('21. Indicatori Performance'!$P6-'21. Indicatori Performance'!$N6)/'21. Indicatori Performance'!$N6</f>
        <v>0.35978444670412363</v>
      </c>
      <c r="R6" s="86">
        <f>'6. Consumo Risorse Idriche'!$N18/'4. Prodotti Finiti'!$D18</f>
        <v>77.16780106397033</v>
      </c>
      <c r="S6" s="87">
        <f>('21. Indicatori Performance'!$R6-'21. Indicatori Performance'!$P6)/'21. Indicatori Performance'!$P6</f>
        <v>-0.31968900551589741</v>
      </c>
      <c r="T6" s="86"/>
      <c r="U6" s="87"/>
    </row>
    <row r="7" spans="1:21" ht="30" customHeight="1" x14ac:dyDescent="0.25">
      <c r="A7" s="6" t="s">
        <v>430</v>
      </c>
      <c r="B7" s="6" t="s">
        <v>431</v>
      </c>
      <c r="C7" s="86">
        <f>'7. Risorse Energetiche'!$D54/'4. Prodotti Finiti'!$F8</f>
        <v>5.4494151583122452</v>
      </c>
      <c r="D7" s="88">
        <f>'7. Risorse Energetiche'!$D55/'4. Prodotti Finiti'!$F9</f>
        <v>6.0526986992363421</v>
      </c>
      <c r="E7" s="88">
        <f>'7. Risorse Energetiche'!$D56/'4. Prodotti Finiti'!$F10</f>
        <v>5.3445500970098161</v>
      </c>
      <c r="F7" s="88">
        <f>'7. Risorse Energetiche'!$D57/'4. Prodotti Finiti'!$F11</f>
        <v>5.0450014018923888</v>
      </c>
      <c r="G7" s="88">
        <f>'7. Risorse Energetiche'!$D58/'4. Prodotti Finiti'!$F12</f>
        <v>4.4362288082894654</v>
      </c>
      <c r="H7" s="88">
        <f>'7. Risorse Energetiche'!$D59/'4. Prodotti Finiti'!$F13</f>
        <v>4.33362925779638</v>
      </c>
      <c r="I7" s="87">
        <f>('21. Indicatori Performance'!$H7-'21. Indicatori Performance'!$G7)/'21. Indicatori Performance'!$G7</f>
        <v>-2.3127650742759163E-2</v>
      </c>
      <c r="J7" s="88">
        <f>'7. Risorse Energetiche'!$D60/'4. Prodotti Finiti'!$F14</f>
        <v>4.3054543509556327</v>
      </c>
      <c r="K7" s="87">
        <f>('21. Indicatori Performance'!$J7-'21. Indicatori Performance'!$H7)/'21. Indicatori Performance'!$H7</f>
        <v>-6.5014575924000582E-3</v>
      </c>
      <c r="L7" s="88">
        <f>'7. Risorse Energetiche'!$D61/'4. Prodotti Finiti'!$F15</f>
        <v>4.4197873311331186</v>
      </c>
      <c r="M7" s="87">
        <f>('21. Indicatori Performance'!$L7-'21. Indicatori Performance'!$J7)/'21. Indicatori Performance'!$J7</f>
        <v>2.6555380886133132E-2</v>
      </c>
      <c r="N7" s="88">
        <f>'7. Risorse Energetiche'!$D62/'4. Prodotti Finiti'!$F16</f>
        <v>4.3605473328666911</v>
      </c>
      <c r="O7" s="87">
        <f>('21. Indicatori Performance'!$N7-'21. Indicatori Performance'!$L7)/'21. Indicatori Performance'!$L7</f>
        <v>-1.340335944427443E-2</v>
      </c>
      <c r="P7" s="88">
        <f>'7. Risorse Energetiche'!$D63/'4. Prodotti Finiti'!$F17</f>
        <v>4.6855102463901801</v>
      </c>
      <c r="Q7" s="87">
        <f>('21. Indicatori Performance'!$P7-'21. Indicatori Performance'!$N7)/'21. Indicatori Performance'!$N7</f>
        <v>7.452342302860715E-2</v>
      </c>
      <c r="R7" s="88">
        <f>'7. Risorse Energetiche'!$D64/'4. Prodotti Finiti'!$F18</f>
        <v>4.7136836157128288</v>
      </c>
      <c r="S7" s="87">
        <f>('21. Indicatori Performance'!$R7-'21. Indicatori Performance'!$P7)/'21. Indicatori Performance'!$P7</f>
        <v>6.0128711370024367E-3</v>
      </c>
      <c r="T7" s="88"/>
      <c r="U7" s="87"/>
    </row>
    <row r="8" spans="1:21" ht="30" customHeight="1" x14ac:dyDescent="0.25">
      <c r="A8" s="6" t="s">
        <v>432</v>
      </c>
      <c r="B8" s="6" t="s">
        <v>433</v>
      </c>
      <c r="C8" s="86"/>
      <c r="D8" s="86"/>
      <c r="E8" s="86"/>
      <c r="F8" s="86"/>
      <c r="G8" s="86"/>
      <c r="H8" s="86">
        <f>1000*'1. Materie Prime'!$L13/'4. Prodotti Finiti'!$F13</f>
        <v>373.07755309127003</v>
      </c>
      <c r="I8" s="87"/>
      <c r="J8" s="86">
        <f>1000*'1. Materie Prime'!$L14/'4. Prodotti Finiti'!$F14</f>
        <v>398.32448147535592</v>
      </c>
      <c r="K8" s="87">
        <f>('21. Indicatori Performance'!$J8-'21. Indicatori Performance'!$H8)/'21. Indicatori Performance'!$H8</f>
        <v>6.7672064896140929E-2</v>
      </c>
      <c r="L8" s="86">
        <f>1000*'1. Materie Prime'!$L15/'4. Prodotti Finiti'!$F15</f>
        <v>495.9893363636989</v>
      </c>
      <c r="M8" s="87">
        <f>('21. Indicatori Performance'!$L8-'21. Indicatori Performance'!$J8)/'21. Indicatori Performance'!$J8</f>
        <v>0.24518918477368415</v>
      </c>
      <c r="N8" s="86">
        <f>1000*'1. Materie Prime'!$L16/'4. Prodotti Finiti'!$F16</f>
        <v>403.42922877698771</v>
      </c>
      <c r="O8" s="87">
        <f>('21. Indicatori Performance'!$N8-'21. Indicatori Performance'!$L8)/'21. Indicatori Performance'!$L8</f>
        <v>-0.18661713226600246</v>
      </c>
      <c r="P8" s="86">
        <f>1000*'1. Materie Prime'!$L17/'4. Prodotti Finiti'!$F17</f>
        <v>343.66761089401814</v>
      </c>
      <c r="Q8" s="87">
        <f>('21. Indicatori Performance'!$P8-'21. Indicatori Performance'!$N8)/'21. Indicatori Performance'!$N8</f>
        <v>-0.14813408057750146</v>
      </c>
      <c r="R8" s="86">
        <f>1000*'1. Materie Prime'!$L18/'4. Prodotti Finiti'!$F18</f>
        <v>431.796920073396</v>
      </c>
      <c r="S8" s="87">
        <f>('21. Indicatori Performance'!$R8-'21. Indicatori Performance'!$P8)/'21. Indicatori Performance'!$P8</f>
        <v>0.25643763446348045</v>
      </c>
      <c r="T8" s="86"/>
      <c r="U8" s="87"/>
    </row>
    <row r="9" spans="1:21" ht="30" customHeight="1" x14ac:dyDescent="0.25">
      <c r="A9" s="6" t="s">
        <v>434</v>
      </c>
      <c r="B9" s="6" t="s">
        <v>433</v>
      </c>
      <c r="C9" s="86"/>
      <c r="D9" s="86"/>
      <c r="E9" s="86"/>
      <c r="F9" s="86"/>
      <c r="G9" s="86"/>
      <c r="H9" s="86">
        <f>1000*'1. Materie Prime'!$H13/'4. Prodotti Finiti'!$D13</f>
        <v>29.055486521774537</v>
      </c>
      <c r="I9" s="87"/>
      <c r="J9" s="86">
        <f>1000*'1. Materie Prime'!$H14/'4. Prodotti Finiti'!$D14</f>
        <v>27.719107143647854</v>
      </c>
      <c r="K9" s="87">
        <f>('21. Indicatori Performance'!$J9-'21. Indicatori Performance'!$H9)/'21. Indicatori Performance'!$H9</f>
        <v>-4.5994045810424954E-2</v>
      </c>
      <c r="L9" s="86">
        <f>1000*'1. Materie Prime'!$H15/'4. Prodotti Finiti'!$D15</f>
        <v>29.928896646037458</v>
      </c>
      <c r="M9" s="87">
        <f>('21. Indicatori Performance'!$L9-'21. Indicatori Performance'!$J9)/'21. Indicatori Performance'!$J9</f>
        <v>7.9720803810089627E-2</v>
      </c>
      <c r="N9" s="86">
        <f>1000*'1. Materie Prime'!$H16/'4. Prodotti Finiti'!$D16</f>
        <v>30.365921306834483</v>
      </c>
      <c r="O9" s="87">
        <f>('21. Indicatori Performance'!$N9-'21. Indicatori Performance'!$L9)/'21. Indicatori Performance'!$L9</f>
        <v>1.4602097296322702E-2</v>
      </c>
      <c r="P9" s="86">
        <f>1000*'1. Materie Prime'!$H17/'4. Prodotti Finiti'!$D17</f>
        <v>28.043111638835384</v>
      </c>
      <c r="Q9" s="87">
        <f>('21. Indicatori Performance'!$P9-'21. Indicatori Performance'!$N9)/'21. Indicatori Performance'!$N9</f>
        <v>-7.6493963233590492E-2</v>
      </c>
      <c r="R9" s="86">
        <f>1000*'1. Materie Prime'!$H18/'4. Prodotti Finiti'!$D18</f>
        <v>23.291553899887713</v>
      </c>
      <c r="S9" s="87">
        <f>('21. Indicatori Performance'!$R9-'21. Indicatori Performance'!$P9)/'21. Indicatori Performance'!$P9</f>
        <v>-0.16943760735764773</v>
      </c>
      <c r="T9" s="86"/>
      <c r="U9" s="87"/>
    </row>
    <row r="10" spans="1:21" ht="30" customHeight="1" x14ac:dyDescent="0.25">
      <c r="A10" s="6" t="s">
        <v>435</v>
      </c>
      <c r="B10" s="6" t="s">
        <v>433</v>
      </c>
      <c r="C10" s="86"/>
      <c r="D10" s="86"/>
      <c r="E10" s="86"/>
      <c r="F10" s="86">
        <f>'15. Rifiuti in uscita'!E28/'4. Prodotti Finiti'!$F11</f>
        <v>26.610605093841276</v>
      </c>
      <c r="G10" s="86">
        <f>'15. Rifiuti in uscita'!F28/'4. Prodotti Finiti'!$F12</f>
        <v>30.310364493587517</v>
      </c>
      <c r="H10" s="86">
        <f>'15. Rifiuti in uscita'!G28/'4. Prodotti Finiti'!$F13</f>
        <v>25.435909068928964</v>
      </c>
      <c r="I10" s="87">
        <f>('21. Indicatori Performance'!$H10-'21. Indicatori Performance'!$G10)/'21. Indicatori Performance'!$G10</f>
        <v>-0.16081810648267844</v>
      </c>
      <c r="J10" s="86">
        <f>'15. Rifiuti in uscita'!H28/'4. Prodotti Finiti'!$F14</f>
        <v>33.926949991840004</v>
      </c>
      <c r="K10" s="87">
        <f>('21. Indicatori Performance'!$J10-'21. Indicatori Performance'!$H10)/'21. Indicatori Performance'!$H10</f>
        <v>0.33382101264401848</v>
      </c>
      <c r="L10" s="86">
        <f>'15. Rifiuti in uscita'!I28/'4. Prodotti Finiti'!$F15</f>
        <v>33.837687243218795</v>
      </c>
      <c r="M10" s="87">
        <f>('21. Indicatori Performance'!$L10-'21. Indicatori Performance'!$J10)/'21. Indicatori Performance'!$J10</f>
        <v>-2.6310278006917323E-3</v>
      </c>
      <c r="N10" s="86">
        <f>'15. Rifiuti in uscita'!J28/'4. Prodotti Finiti'!$F16</f>
        <v>31.166286962268412</v>
      </c>
      <c r="O10" s="87">
        <f>('21. Indicatori Performance'!$N10-'21. Indicatori Performance'!$L10)/'21. Indicatori Performance'!$L10</f>
        <v>-7.8947484257682013E-2</v>
      </c>
      <c r="P10" s="86">
        <f>'15. Rifiuti in uscita'!K28/'4. Prodotti Finiti'!$F17</f>
        <v>61.202949942151719</v>
      </c>
      <c r="Q10" s="87">
        <f>('21. Indicatori Performance'!$P10-'21. Indicatori Performance'!$N10)/'21. Indicatori Performance'!$N10</f>
        <v>0.96375493866970141</v>
      </c>
      <c r="R10" s="86">
        <f>'15. Rifiuti in uscita'!L28/'4. Prodotti Finiti'!$F18</f>
        <v>150.86801279379421</v>
      </c>
      <c r="S10" s="87">
        <f>('21. Indicatori Performance'!$R10-'21. Indicatori Performance'!$P10)/'21. Indicatori Performance'!$P10</f>
        <v>1.4650447884684124</v>
      </c>
      <c r="T10" s="86"/>
      <c r="U10" s="87"/>
    </row>
    <row r="11" spans="1:21" ht="30" customHeight="1" x14ac:dyDescent="0.25">
      <c r="A11" s="6" t="s">
        <v>436</v>
      </c>
      <c r="B11" s="6" t="s">
        <v>437</v>
      </c>
      <c r="C11" s="86"/>
      <c r="D11" s="86"/>
      <c r="E11" s="86"/>
      <c r="F11" s="86">
        <f>'15. Rifiuti in uscita'!E28/'7. Risorse Energetiche'!$D57</f>
        <v>5.2746477104762732</v>
      </c>
      <c r="G11" s="86">
        <f>'15. Rifiuti in uscita'!F28/'7. Risorse Energetiche'!$D58</f>
        <v>6.832461940860683</v>
      </c>
      <c r="H11" s="86">
        <f>'15. Rifiuti in uscita'!G28/'7. Risorse Energetiche'!$D59</f>
        <v>5.8694243452341253</v>
      </c>
      <c r="I11" s="87">
        <f>('21. Indicatori Performance'!$H11-'21. Indicatori Performance'!$G11)/'21. Indicatori Performance'!$G11</f>
        <v>-0.1409503051699757</v>
      </c>
      <c r="J11" s="86">
        <f>'15. Rifiuti in uscita'!H28/'7. Risorse Energetiche'!$D60</f>
        <v>7.879992963880718</v>
      </c>
      <c r="K11" s="87">
        <f>('21. Indicatori Performance'!$J11-'21. Indicatori Performance'!$H11)/'21. Indicatori Performance'!$H11</f>
        <v>0.34254954155412887</v>
      </c>
      <c r="L11" s="86">
        <f>'15. Rifiuti in uscita'!I28/'7. Risorse Energetiche'!$D61</f>
        <v>7.6559537163394911</v>
      </c>
      <c r="M11" s="87">
        <f>('21. Indicatori Performance'!$L11-'21. Indicatori Performance'!$J11)/'21. Indicatori Performance'!$J11</f>
        <v>-2.8431401978167844E-2</v>
      </c>
      <c r="N11" s="86">
        <f>'15. Rifiuti in uscita'!J28/'7. Risorse Energetiche'!$D62</f>
        <v>7.1473337136737864</v>
      </c>
      <c r="O11" s="87">
        <f>('21. Indicatori Performance'!$N11-'21. Indicatori Performance'!$L11)/'21. Indicatori Performance'!$L11</f>
        <v>-6.6434571251416732E-2</v>
      </c>
      <c r="P11" s="86">
        <f>'15. Rifiuti in uscita'!K28/'7. Risorse Energetiche'!$D63</f>
        <v>13.062173962655148</v>
      </c>
      <c r="Q11" s="87">
        <f>('21. Indicatori Performance'!$P11-'21. Indicatori Performance'!$N11)/'21. Indicatori Performance'!$N11</f>
        <v>0.82755898715985465</v>
      </c>
      <c r="R11" s="86">
        <f>'15. Rifiuti in uscita'!L28/'7. Risorse Energetiche'!$D64</f>
        <v>32.006393532837727</v>
      </c>
      <c r="S11" s="87">
        <f>('21. Indicatori Performance'!$R11-'21. Indicatori Performance'!$P11)/'21. Indicatori Performance'!$P11</f>
        <v>1.4503113818836162</v>
      </c>
      <c r="T11" s="86"/>
      <c r="U11" s="87"/>
    </row>
    <row r="12" spans="1:21" ht="30" customHeight="1" x14ac:dyDescent="0.25">
      <c r="A12" s="6" t="s">
        <v>438</v>
      </c>
      <c r="B12" s="6" t="s">
        <v>439</v>
      </c>
      <c r="C12" s="86"/>
      <c r="D12" s="86"/>
      <c r="E12" s="86"/>
      <c r="F12" s="86"/>
      <c r="G12" s="86"/>
      <c r="H12" s="86">
        <f>'15. Rifiuti in uscita'!G28/'8. Combustibili'!$B7*1000</f>
        <v>89.321165190101297</v>
      </c>
      <c r="I12" s="87"/>
      <c r="J12" s="86">
        <f>'15. Rifiuti in uscita'!H28/'8. Combustibili'!$B8*1000</f>
        <v>119.71292087932474</v>
      </c>
      <c r="K12" s="87">
        <f>('21. Indicatori Performance'!$J12-'21. Indicatori Performance'!$H12)/'21. Indicatori Performance'!$H12</f>
        <v>0.34025256639387752</v>
      </c>
      <c r="L12" s="86">
        <f>'15. Rifiuti in uscita'!I28/'8. Combustibili'!$B9*1000</f>
        <v>114.44685703084821</v>
      </c>
      <c r="M12" s="87">
        <f>('21. Indicatori Performance'!$L12-'21. Indicatori Performance'!$J12)/'21. Indicatori Performance'!$J12</f>
        <v>-4.3989101675874491E-2</v>
      </c>
      <c r="N12" s="86">
        <f>'15. Rifiuti in uscita'!J28/'8. Combustibili'!$B10*1000</f>
        <v>105.17754754406495</v>
      </c>
      <c r="O12" s="87">
        <f>('21. Indicatori Performance'!$N12-'21. Indicatori Performance'!$L12)/'21. Indicatori Performance'!$L12</f>
        <v>-8.0992259003537265E-2</v>
      </c>
      <c r="P12" s="86">
        <f>'15. Rifiuti in uscita'!K28/'8. Combustibili'!$B11*1000</f>
        <v>192.39979328257471</v>
      </c>
      <c r="Q12" s="87">
        <f>('21. Indicatori Performance'!$P12-'21. Indicatori Performance'!$N12)/'21. Indicatori Performance'!$N12</f>
        <v>0.82928579126611901</v>
      </c>
      <c r="R12" s="86">
        <f>'15. Rifiuti in uscita'!L28/'8. Combustibili'!$B12*1000</f>
        <v>465.85592537588695</v>
      </c>
      <c r="S12" s="87">
        <f>('21. Indicatori Performance'!$R12-'21. Indicatori Performance'!$P12)/'21. Indicatori Performance'!$P12</f>
        <v>1.4212911949010845</v>
      </c>
      <c r="T12" s="86"/>
      <c r="U12" s="87"/>
    </row>
    <row r="13" spans="1:21" x14ac:dyDescent="0.25">
      <c r="A13" s="6"/>
      <c r="B13" s="6"/>
      <c r="C13" s="6"/>
      <c r="D13" s="6"/>
      <c r="E13" s="83"/>
      <c r="F13" s="83"/>
      <c r="G13" s="83"/>
      <c r="H13" s="83"/>
      <c r="I13" s="84"/>
      <c r="J13" s="83"/>
      <c r="K13" s="84"/>
      <c r="L13" s="83"/>
      <c r="M13" s="84"/>
      <c r="N13" s="83"/>
      <c r="O13" s="84"/>
      <c r="P13" s="83"/>
      <c r="Q13" s="84"/>
      <c r="R13" s="83"/>
      <c r="S13" s="83"/>
    </row>
  </sheetData>
  <conditionalFormatting sqref="I5:I12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K5:K12">
    <cfRule type="cellIs" dxfId="15" priority="7" operator="lessThan">
      <formula>0</formula>
    </cfRule>
    <cfRule type="cellIs" dxfId="14" priority="8" operator="greaterThan">
      <formula>0</formula>
    </cfRule>
  </conditionalFormatting>
  <conditionalFormatting sqref="M5:M12">
    <cfRule type="cellIs" dxfId="13" priority="9" operator="lessThan">
      <formula>0</formula>
    </cfRule>
    <cfRule type="cellIs" dxfId="12" priority="10" operator="greaterThan">
      <formula>0</formula>
    </cfRule>
  </conditionalFormatting>
  <conditionalFormatting sqref="O5:O12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Q5:Q12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S5:S12">
    <cfRule type="cellIs" dxfId="7" priority="15" operator="lessThan">
      <formula>0</formula>
    </cfRule>
    <cfRule type="cellIs" dxfId="6" priority="16" operator="greaterThan">
      <formula>0</formula>
    </cfRule>
  </conditionalFormatting>
  <conditionalFormatting sqref="U5:U12">
    <cfRule type="cellIs" dxfId="5" priority="3" operator="lessThan">
      <formula>0</formula>
    </cfRule>
    <cfRule type="cellIs" dxfId="4" priority="4" operator="greaterThan">
      <formula>0</formula>
    </cfRule>
  </conditionalFormatting>
  <pageMargins left="0.70866141732283472" right="0.70866141732283472" top="0.74803149606299213" bottom="0.74803149606299213" header="0" footer="0"/>
  <pageSetup paperSize="9" orientation="landscape"/>
  <headerFooter>
    <oddFooter>&amp;L&amp;A&amp;R&amp;F</oddFooter>
  </headerFooter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A8D08D"/>
  </sheetPr>
  <dimension ref="A1:P10"/>
  <sheetViews>
    <sheetView showGridLines="0" workbookViewId="0">
      <selection activeCell="E32" sqref="E32"/>
    </sheetView>
  </sheetViews>
  <sheetFormatPr defaultColWidth="14.42578125" defaultRowHeight="15" customHeight="1" x14ac:dyDescent="0.25"/>
  <cols>
    <col min="1" max="1" width="50.7109375" customWidth="1"/>
    <col min="2" max="3" width="18.7109375" customWidth="1"/>
    <col min="4" max="14" width="12.7109375" customWidth="1"/>
    <col min="15" max="16" width="12.7109375" style="144" customWidth="1"/>
    <col min="17" max="26" width="8.7109375" customWidth="1"/>
  </cols>
  <sheetData>
    <row r="1" spans="1:16" x14ac:dyDescent="0.25">
      <c r="A1" s="1" t="s">
        <v>440</v>
      </c>
      <c r="B1" s="6"/>
      <c r="C1" s="6"/>
      <c r="D1" s="6"/>
      <c r="E1" s="6"/>
      <c r="F1" s="6"/>
    </row>
    <row r="2" spans="1:16" x14ac:dyDescent="0.25">
      <c r="A2" s="1"/>
      <c r="B2" s="6"/>
      <c r="C2" s="6"/>
      <c r="D2" s="6"/>
      <c r="E2" s="6"/>
      <c r="F2" s="6"/>
    </row>
    <row r="3" spans="1:16" x14ac:dyDescent="0.25">
      <c r="A3" s="85" t="s">
        <v>441</v>
      </c>
      <c r="B3" s="6"/>
      <c r="C3" s="6"/>
      <c r="D3" s="6"/>
      <c r="E3" s="6"/>
      <c r="F3" s="6"/>
    </row>
    <row r="4" spans="1:16" x14ac:dyDescent="0.25">
      <c r="A4" s="6" t="s">
        <v>419</v>
      </c>
      <c r="B4" s="6" t="s">
        <v>129</v>
      </c>
      <c r="C4" s="6" t="s">
        <v>442</v>
      </c>
      <c r="D4" s="6" t="s">
        <v>143</v>
      </c>
      <c r="E4" s="6" t="s">
        <v>144</v>
      </c>
      <c r="F4" s="6" t="s">
        <v>443</v>
      </c>
      <c r="G4" s="6" t="s">
        <v>145</v>
      </c>
      <c r="H4" s="6" t="s">
        <v>444</v>
      </c>
      <c r="I4" s="6" t="s">
        <v>146</v>
      </c>
      <c r="J4" s="6" t="s">
        <v>445</v>
      </c>
      <c r="K4" s="6" t="s">
        <v>25</v>
      </c>
      <c r="L4" s="6" t="s">
        <v>446</v>
      </c>
      <c r="M4" s="6" t="s">
        <v>26</v>
      </c>
      <c r="N4" s="6" t="s">
        <v>447</v>
      </c>
      <c r="O4" s="144" t="s">
        <v>27</v>
      </c>
      <c r="P4" s="6" t="s">
        <v>471</v>
      </c>
    </row>
    <row r="5" spans="1:16" ht="30" customHeight="1" x14ac:dyDescent="0.25">
      <c r="A5" s="89" t="s">
        <v>448</v>
      </c>
      <c r="B5" s="81" t="s">
        <v>449</v>
      </c>
      <c r="C5" s="81"/>
      <c r="D5" s="81"/>
      <c r="E5" s="81"/>
      <c r="F5" s="81"/>
      <c r="G5" s="81"/>
      <c r="H5" s="81"/>
      <c r="I5" s="81">
        <v>35000</v>
      </c>
      <c r="J5" s="81"/>
      <c r="K5" s="81">
        <v>40000</v>
      </c>
      <c r="L5" s="81"/>
      <c r="M5" s="81">
        <v>40000</v>
      </c>
      <c r="N5" s="6"/>
    </row>
    <row r="6" spans="1:16" ht="30" customHeight="1" x14ac:dyDescent="0.25">
      <c r="A6" s="6" t="s">
        <v>450</v>
      </c>
      <c r="B6" s="6" t="s">
        <v>451</v>
      </c>
      <c r="C6" s="6"/>
      <c r="D6" s="90">
        <f>'Rifiuti Pivot'!$Q6</f>
        <v>1</v>
      </c>
      <c r="E6" s="90">
        <f>'Rifiuti Pivot'!Q7</f>
        <v>0.98083400591875169</v>
      </c>
      <c r="F6" s="91"/>
      <c r="G6" s="90">
        <f>'Rifiuti Pivot'!Q8</f>
        <v>0.89017392072040258</v>
      </c>
      <c r="H6" s="90"/>
      <c r="I6" s="90">
        <f>'Rifiuti Pivot'!Q9</f>
        <v>1</v>
      </c>
      <c r="J6" s="90"/>
      <c r="K6" s="90">
        <f>'Rifiuti Pivot'!Q10</f>
        <v>0.99863961330284523</v>
      </c>
      <c r="L6" s="90"/>
      <c r="M6" s="90">
        <f>'Rifiuti Pivot'!Q11</f>
        <v>0.41329753015358733</v>
      </c>
      <c r="N6" s="6"/>
    </row>
    <row r="7" spans="1:16" ht="30" customHeight="1" x14ac:dyDescent="0.25">
      <c r="A7" s="92" t="s">
        <v>452</v>
      </c>
      <c r="B7" s="6" t="s">
        <v>453</v>
      </c>
      <c r="C7" s="6" t="s">
        <v>454</v>
      </c>
      <c r="D7" s="86">
        <f>'21. Indicatori Performance'!H5</f>
        <v>49.567211303520715</v>
      </c>
      <c r="E7" s="86">
        <f>'21. Indicatori Performance'!J5</f>
        <v>55.347387506193016</v>
      </c>
      <c r="F7" s="91">
        <f>('22. Indicatori Circolarità'!$E7-'22. Indicatori Circolarità'!$D7)/'22. Indicatori Circolarità'!$D7</f>
        <v>0.11661289894397872</v>
      </c>
      <c r="G7" s="86">
        <f>'21. Indicatori Performance'!L5</f>
        <v>55.164959845566074</v>
      </c>
      <c r="H7" s="90">
        <f>('22. Indicatori Circolarità'!$G7-'22. Indicatori Circolarità'!$E7)/'22. Indicatori Circolarità'!$E7</f>
        <v>-3.2960482661720876E-3</v>
      </c>
      <c r="I7" s="86">
        <f>'21. Indicatori Performance'!N5</f>
        <v>52.858440416400228</v>
      </c>
      <c r="J7" s="90">
        <f>('22. Indicatori Circolarità'!$I7-'22. Indicatori Circolarità'!$G7)/'22. Indicatori Circolarità'!$G7</f>
        <v>-4.1811313479116652E-2</v>
      </c>
      <c r="K7" s="86">
        <f>'21. Indicatori Performance'!P5</f>
        <v>79.597670241127517</v>
      </c>
      <c r="L7" s="90">
        <f>('22. Indicatori Circolarità'!$K7-'22. Indicatori Circolarità'!$I7)/'22. Indicatori Circolarità'!$I7</f>
        <v>0.50586490282507446</v>
      </c>
      <c r="M7" s="86">
        <f>'21. Indicatori Performance'!R5</f>
        <v>58.200047878415795</v>
      </c>
      <c r="N7" s="90">
        <f>('22. Indicatori Circolarità'!$M7-'22. Indicatori Circolarità'!$K7)/'22. Indicatori Circolarità'!$K7</f>
        <v>-0.26882221926711281</v>
      </c>
      <c r="O7" s="183"/>
      <c r="P7" s="90"/>
    </row>
    <row r="8" spans="1:16" ht="30" customHeight="1" x14ac:dyDescent="0.25">
      <c r="A8" s="92" t="s">
        <v>455</v>
      </c>
      <c r="B8" s="6" t="s">
        <v>431</v>
      </c>
      <c r="C8" s="6" t="s">
        <v>454</v>
      </c>
      <c r="D8" s="88">
        <f>'21. Indicatori Performance'!H7</f>
        <v>4.33362925779638</v>
      </c>
      <c r="E8" s="86">
        <f>'21. Indicatori Performance'!J7</f>
        <v>4.3054543509556327</v>
      </c>
      <c r="F8" s="91">
        <f>('22. Indicatori Circolarità'!$E8-'22. Indicatori Circolarità'!$D8)/'22. Indicatori Circolarità'!$D8</f>
        <v>-6.5014575924000582E-3</v>
      </c>
      <c r="G8" s="88">
        <f>'21. Indicatori Performance'!L7</f>
        <v>4.4197873311331186</v>
      </c>
      <c r="H8" s="90">
        <f>('22. Indicatori Circolarità'!$G8-'22. Indicatori Circolarità'!$E8)/'22. Indicatori Circolarità'!$E8</f>
        <v>2.6555380886133132E-2</v>
      </c>
      <c r="I8" s="88">
        <f>'21. Indicatori Performance'!N7</f>
        <v>4.3605473328666911</v>
      </c>
      <c r="J8" s="90">
        <f>('22. Indicatori Circolarità'!$I8-'22. Indicatori Circolarità'!$G8)/'22. Indicatori Circolarità'!$G8</f>
        <v>-1.340335944427443E-2</v>
      </c>
      <c r="K8" s="88">
        <f>'21. Indicatori Performance'!P7</f>
        <v>4.6855102463901801</v>
      </c>
      <c r="L8" s="90">
        <f>('22. Indicatori Circolarità'!$K8-'22. Indicatori Circolarità'!$I8)/'22. Indicatori Circolarità'!$I8</f>
        <v>7.452342302860715E-2</v>
      </c>
      <c r="M8" s="88">
        <f>'21. Indicatori Performance'!R7</f>
        <v>4.7136836157128288</v>
      </c>
      <c r="N8" s="90">
        <f>('22. Indicatori Circolarità'!$M8-'22. Indicatori Circolarità'!$K8)/'22. Indicatori Circolarità'!$K8</f>
        <v>6.0128711370024367E-3</v>
      </c>
      <c r="O8" s="155"/>
      <c r="P8" s="90"/>
    </row>
    <row r="9" spans="1:16" ht="30" x14ac:dyDescent="0.25">
      <c r="A9" s="92" t="s">
        <v>456</v>
      </c>
      <c r="B9" s="6" t="s">
        <v>433</v>
      </c>
      <c r="C9" s="6" t="s">
        <v>454</v>
      </c>
      <c r="D9" s="86">
        <f>GETPIVOTDATA("2019",'Rifiuti Pivot'!$A$16)/'4. Prodotti Finiti'!F13</f>
        <v>23.494569032892141</v>
      </c>
      <c r="E9" s="86">
        <f>GETPIVOTDATA("2020",'Rifiuti Pivot'!$A$16)/'4. Prodotti Finiti'!F14</f>
        <v>32.011998657891112</v>
      </c>
      <c r="F9" s="91">
        <f>('22. Indicatori Circolarità'!$E9-'22. Indicatori Circolarità'!$D9)/'22. Indicatori Circolarità'!$D9</f>
        <v>0.36252759576371302</v>
      </c>
      <c r="G9" s="86">
        <f>GETPIVOTDATA("2021",'Rifiuti Pivot'!$A$16)/'4. Prodotti Finiti'!F15</f>
        <v>27.913776781198589</v>
      </c>
      <c r="H9" s="90">
        <f>('22. Indicatori Circolarità'!$G9-'22. Indicatori Circolarità'!$E9)/'22. Indicatori Circolarità'!$E9</f>
        <v>-0.12802143097935847</v>
      </c>
      <c r="I9" s="86">
        <f>GETPIVOTDATA("2022",'Rifiuti Pivot'!$A$16)/'4. Prodotti Finiti'!F16</f>
        <v>29.152621888325132</v>
      </c>
      <c r="J9" s="90">
        <f>('22. Indicatori Circolarità'!$I9-'22. Indicatori Circolarità'!$G9)/'22. Indicatori Circolarità'!$G9</f>
        <v>4.4381135409844348E-2</v>
      </c>
      <c r="K9" s="86">
        <f>GETPIVOTDATA("2023",'Rifiuti Pivot'!$A$16)/'4. Prodotti Finiti'!F17</f>
        <v>52.963784693347186</v>
      </c>
      <c r="L9" s="90">
        <f>('22. Indicatori Circolarità'!$K9-'22. Indicatori Circolarità'!$I9)/'22. Indicatori Circolarità'!$I9</f>
        <v>0.81677603120005493</v>
      </c>
      <c r="M9" s="154">
        <f>GETPIVOTDATA("2024",'Rifiuti Pivot'!$A$16)/'4. Prodotti Finiti'!F18</f>
        <v>49.384144976635184</v>
      </c>
      <c r="N9" s="90">
        <f>('22. Indicatori Circolarità'!$M9-'22. Indicatori Circolarità'!$K9)/'22. Indicatori Circolarità'!$K9</f>
        <v>-6.7586554424643355E-2</v>
      </c>
      <c r="O9" s="154"/>
      <c r="P9" s="90"/>
    </row>
    <row r="10" spans="1:16" x14ac:dyDescent="0.25">
      <c r="A10" s="6"/>
      <c r="B10" s="6"/>
      <c r="C10" s="6"/>
      <c r="D10" s="6"/>
      <c r="E10" s="6"/>
      <c r="F10" s="6"/>
    </row>
  </sheetData>
  <conditionalFormatting sqref="F5:F9 H5:H9 J5:J9 L5:L9 N5:N9">
    <cfRule type="cellIs" dxfId="3" priority="5" operator="lessThanOrEqual">
      <formula>0</formula>
    </cfRule>
    <cfRule type="cellIs" dxfId="2" priority="6" operator="greaterThan">
      <formula>0</formula>
    </cfRule>
  </conditionalFormatting>
  <conditionalFormatting sqref="P7:P9">
    <cfRule type="cellIs" dxfId="1" priority="1" operator="lessThanOrEqual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" footer="0"/>
  <pageSetup paperSize="9" orientation="landscape"/>
  <headerFooter>
    <oddFooter>&amp;L&amp;A&amp;R&amp;F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8D08D"/>
  </sheetPr>
  <dimension ref="A1:I24"/>
  <sheetViews>
    <sheetView showGridLines="0" workbookViewId="0">
      <selection activeCell="C30" sqref="C30"/>
    </sheetView>
  </sheetViews>
  <sheetFormatPr defaultColWidth="14.42578125" defaultRowHeight="15" customHeight="1" x14ac:dyDescent="0.25"/>
  <cols>
    <col min="1" max="1" width="12.7109375" customWidth="1"/>
    <col min="2" max="2" width="18.7109375" customWidth="1"/>
    <col min="3" max="3" width="12.7109375" customWidth="1"/>
    <col min="4" max="4" width="18.7109375" customWidth="1"/>
    <col min="5" max="5" width="12.7109375" customWidth="1"/>
    <col min="6" max="6" width="18.7109375" customWidth="1"/>
    <col min="7" max="7" width="12.7109375" customWidth="1"/>
    <col min="8" max="8" width="25" customWidth="1"/>
    <col min="9" max="9" width="12.7109375" customWidth="1"/>
    <col min="10" max="26" width="8.7109375" customWidth="1"/>
  </cols>
  <sheetData>
    <row r="1" spans="1:9" x14ac:dyDescent="0.25">
      <c r="A1" s="1" t="s">
        <v>13</v>
      </c>
      <c r="B1" s="2"/>
      <c r="C1" s="3"/>
      <c r="D1" s="2"/>
      <c r="E1" s="3"/>
      <c r="F1" s="2"/>
      <c r="G1" s="3"/>
      <c r="H1" s="2"/>
      <c r="I1" s="2"/>
    </row>
    <row r="2" spans="1:9" x14ac:dyDescent="0.25">
      <c r="A2" s="2"/>
      <c r="B2" s="2"/>
      <c r="C2" s="3"/>
      <c r="D2" s="2"/>
      <c r="E2" s="3"/>
      <c r="F2" s="2"/>
      <c r="G2" s="3"/>
      <c r="H2" s="2"/>
      <c r="I2" s="2"/>
    </row>
    <row r="3" spans="1:9" x14ac:dyDescent="0.25">
      <c r="A3" s="4" t="s">
        <v>14</v>
      </c>
      <c r="B3" s="2"/>
      <c r="C3" s="3"/>
      <c r="D3" s="2"/>
      <c r="E3" s="3"/>
      <c r="F3" s="2"/>
      <c r="G3" s="3"/>
      <c r="H3" s="2"/>
      <c r="I3" s="2"/>
    </row>
    <row r="4" spans="1:9" s="101" customFormat="1" ht="48" x14ac:dyDescent="0.25">
      <c r="A4" s="93" t="s">
        <v>3</v>
      </c>
      <c r="B4" s="94" t="s">
        <v>15</v>
      </c>
      <c r="C4" s="99" t="s">
        <v>5</v>
      </c>
      <c r="D4" s="94" t="s">
        <v>16</v>
      </c>
      <c r="E4" s="99" t="s">
        <v>7</v>
      </c>
      <c r="F4" s="95" t="s">
        <v>17</v>
      </c>
      <c r="G4" s="96" t="s">
        <v>18</v>
      </c>
      <c r="H4" s="94" t="s">
        <v>19</v>
      </c>
      <c r="I4" s="100" t="s">
        <v>20</v>
      </c>
    </row>
    <row r="5" spans="1:9" x14ac:dyDescent="0.25">
      <c r="A5" s="2">
        <v>2011</v>
      </c>
      <c r="B5" s="7">
        <v>1511.29</v>
      </c>
      <c r="C5" s="8"/>
      <c r="D5" s="7">
        <v>2591.7750000000001</v>
      </c>
      <c r="E5" s="8"/>
      <c r="F5" s="7">
        <f>SUM('4. Prodotti Finiti'!$B5,'4. Prodotti Finiti'!$D5)</f>
        <v>4103.0650000000005</v>
      </c>
      <c r="G5" s="8"/>
      <c r="H5" s="7"/>
      <c r="I5" s="10"/>
    </row>
    <row r="6" spans="1:9" x14ac:dyDescent="0.25">
      <c r="A6" s="2">
        <v>2012</v>
      </c>
      <c r="B6" s="7">
        <v>0</v>
      </c>
      <c r="C6" s="8"/>
      <c r="D6" s="7">
        <v>0</v>
      </c>
      <c r="E6" s="8"/>
      <c r="F6" s="7">
        <f>SUM('4. Prodotti Finiti'!$B6,'4. Prodotti Finiti'!$D6)</f>
        <v>0</v>
      </c>
      <c r="G6" s="8"/>
      <c r="H6" s="7"/>
      <c r="I6" s="10"/>
    </row>
    <row r="7" spans="1:9" x14ac:dyDescent="0.25">
      <c r="A7" s="2">
        <v>2013</v>
      </c>
      <c r="B7" s="7">
        <v>1612.0260000000001</v>
      </c>
      <c r="C7" s="8"/>
      <c r="D7" s="7">
        <v>1918.752</v>
      </c>
      <c r="E7" s="8"/>
      <c r="F7" s="7">
        <f>SUM('4. Prodotti Finiti'!$B7,'4. Prodotti Finiti'!$D7)</f>
        <v>3530.7780000000002</v>
      </c>
      <c r="G7" s="8"/>
      <c r="H7" s="7"/>
      <c r="I7" s="10"/>
    </row>
    <row r="8" spans="1:9" x14ac:dyDescent="0.25">
      <c r="A8" s="2">
        <v>2014</v>
      </c>
      <c r="B8" s="7">
        <v>1809.4970000000001</v>
      </c>
      <c r="C8" s="8">
        <f>('4. Prodotti Finiti'!$B8-B7)/B7</f>
        <v>0.12249864456280482</v>
      </c>
      <c r="D8" s="7">
        <v>1967.9639999999999</v>
      </c>
      <c r="E8" s="8">
        <f>('4. Prodotti Finiti'!$D8-D7)/D7</f>
        <v>2.5647921148746679E-2</v>
      </c>
      <c r="F8" s="7">
        <f>SUM('4. Prodotti Finiti'!$B8,'4. Prodotti Finiti'!$D8)</f>
        <v>3777.4610000000002</v>
      </c>
      <c r="G8" s="8">
        <f>('4. Prodotti Finiti'!$F8-F7)/F7</f>
        <v>6.9866471355604906E-2</v>
      </c>
      <c r="H8" s="7"/>
      <c r="I8" s="10"/>
    </row>
    <row r="9" spans="1:9" x14ac:dyDescent="0.25">
      <c r="A9" s="2">
        <v>2015</v>
      </c>
      <c r="B9" s="7">
        <v>1298.249</v>
      </c>
      <c r="C9" s="8">
        <f>('4. Prodotti Finiti'!$B9-B8)/B8</f>
        <v>-0.28253597546721548</v>
      </c>
      <c r="D9" s="7">
        <v>1848.2360000000001</v>
      </c>
      <c r="E9" s="8">
        <f>('4. Prodotti Finiti'!$D9-D8)/D8</f>
        <v>-6.0838511273580129E-2</v>
      </c>
      <c r="F9" s="7">
        <f>SUM('4. Prodotti Finiti'!$B9,'4. Prodotti Finiti'!$D9)</f>
        <v>3146.4850000000001</v>
      </c>
      <c r="G9" s="8">
        <f>('4. Prodotti Finiti'!$F9-F8)/F8</f>
        <v>-0.16703706537274643</v>
      </c>
      <c r="H9" s="7"/>
      <c r="I9" s="10"/>
    </row>
    <row r="10" spans="1:9" x14ac:dyDescent="0.25">
      <c r="A10" s="2">
        <v>2016</v>
      </c>
      <c r="B10" s="7">
        <v>1816.826</v>
      </c>
      <c r="C10" s="8">
        <f>('4. Prodotti Finiti'!$B10-B9)/B9</f>
        <v>0.39944340415436486</v>
      </c>
      <c r="D10" s="7">
        <v>1859.377</v>
      </c>
      <c r="E10" s="8">
        <f>('4. Prodotti Finiti'!$D10-D9)/D9</f>
        <v>6.0279098556677005E-3</v>
      </c>
      <c r="F10" s="7">
        <f>SUM('4. Prodotti Finiti'!$B10,'4. Prodotti Finiti'!$D10)</f>
        <v>3676.203</v>
      </c>
      <c r="G10" s="8">
        <f>('4. Prodotti Finiti'!$F10-F9)/F9</f>
        <v>0.16835230423790351</v>
      </c>
      <c r="H10" s="7"/>
      <c r="I10" s="10"/>
    </row>
    <row r="11" spans="1:9" x14ac:dyDescent="0.25">
      <c r="A11" s="2">
        <v>2017</v>
      </c>
      <c r="B11" s="7">
        <v>1960.038</v>
      </c>
      <c r="C11" s="8">
        <f>('4. Prodotti Finiti'!$B11-B10)/B10</f>
        <v>7.8825380085930069E-2</v>
      </c>
      <c r="D11" s="7">
        <v>1973.732</v>
      </c>
      <c r="E11" s="8">
        <f>('4. Prodotti Finiti'!$D11-D10)/D10</f>
        <v>6.1501782586317902E-2</v>
      </c>
      <c r="F11" s="7">
        <f>SUM('4. Prodotti Finiti'!$B11,'4. Prodotti Finiti'!$D11)</f>
        <v>3933.77</v>
      </c>
      <c r="G11" s="8">
        <f>('4. Prodotti Finiti'!$F11-F10)/F10</f>
        <v>7.0063323488936818E-2</v>
      </c>
      <c r="H11" s="7"/>
      <c r="I11" s="10"/>
    </row>
    <row r="12" spans="1:9" x14ac:dyDescent="0.25">
      <c r="A12" s="2">
        <v>2018</v>
      </c>
      <c r="B12" s="7">
        <v>2010.6469999999999</v>
      </c>
      <c r="C12" s="8">
        <f>('4. Prodotti Finiti'!$B12-B11)/B11</f>
        <v>2.5820417767410592E-2</v>
      </c>
      <c r="D12" s="7">
        <v>1931.0409999999999</v>
      </c>
      <c r="E12" s="8">
        <f>('4. Prodotti Finiti'!$D12-D11)/D11</f>
        <v>-2.1629582942365038E-2</v>
      </c>
      <c r="F12" s="7">
        <f>SUM('4. Prodotti Finiti'!$B12,'4. Prodotti Finiti'!$D12)</f>
        <v>3941.6880000000001</v>
      </c>
      <c r="G12" s="8">
        <f>('4. Prodotti Finiti'!$F12-F11)/F11</f>
        <v>2.0128273895017043E-3</v>
      </c>
      <c r="H12" s="7"/>
      <c r="I12" s="10"/>
    </row>
    <row r="13" spans="1:9" x14ac:dyDescent="0.25">
      <c r="A13" s="2">
        <v>2019</v>
      </c>
      <c r="B13" s="7">
        <v>2046.5940000000001</v>
      </c>
      <c r="C13" s="8">
        <f>('4. Prodotti Finiti'!$B13-B12)/B12</f>
        <v>1.7878324738255954E-2</v>
      </c>
      <c r="D13" s="7">
        <v>1903.2550000000001</v>
      </c>
      <c r="E13" s="8">
        <f>('4. Prodotti Finiti'!$D13-D12)/D12</f>
        <v>-1.4389130008114707E-2</v>
      </c>
      <c r="F13" s="7">
        <f>SUM('4. Prodotti Finiti'!$B13,'4. Prodotti Finiti'!$D13)</f>
        <v>3949.8490000000002</v>
      </c>
      <c r="G13" s="8">
        <f>('4. Prodotti Finiti'!$F13-F12)/F12</f>
        <v>2.0704327689051133E-3</v>
      </c>
      <c r="H13" s="7"/>
      <c r="I13" s="10"/>
    </row>
    <row r="14" spans="1:9" x14ac:dyDescent="0.25">
      <c r="A14" s="2">
        <v>2020</v>
      </c>
      <c r="B14" s="7">
        <v>1609.788</v>
      </c>
      <c r="C14" s="8">
        <f>('4. Prodotti Finiti'!$B14-B13)/B13</f>
        <v>-0.21343070486867449</v>
      </c>
      <c r="D14" s="7">
        <v>1129.1849999999999</v>
      </c>
      <c r="E14" s="8">
        <f>('4. Prodotti Finiti'!$D14-D13)/D13</f>
        <v>-0.40670850726781232</v>
      </c>
      <c r="F14" s="7">
        <f>SUM('4. Prodotti Finiti'!$B14,'4. Prodotti Finiti'!$D14)</f>
        <v>2738.973</v>
      </c>
      <c r="G14" s="8">
        <f>('4. Prodotti Finiti'!$F14-F13)/F13</f>
        <v>-0.30656260530465851</v>
      </c>
      <c r="H14" s="7"/>
      <c r="I14" s="10"/>
    </row>
    <row r="15" spans="1:9" x14ac:dyDescent="0.25">
      <c r="A15" s="2">
        <v>2021</v>
      </c>
      <c r="B15" s="7">
        <v>1997.585</v>
      </c>
      <c r="C15" s="8">
        <f>('4. Prodotti Finiti'!$B15-B14)/B14</f>
        <v>0.24089942278113641</v>
      </c>
      <c r="D15" s="7">
        <v>1349.866</v>
      </c>
      <c r="E15" s="8">
        <f>('4. Prodotti Finiti'!$D15-D14)/D14</f>
        <v>0.19543387487435632</v>
      </c>
      <c r="F15" s="7">
        <f>SUM('4. Prodotti Finiti'!$B15,'4. Prodotti Finiti'!$D15)</f>
        <v>3347.451</v>
      </c>
      <c r="G15" s="8">
        <f>('4. Prodotti Finiti'!$F15-F14)/F14</f>
        <v>0.22215553055835163</v>
      </c>
      <c r="H15" s="7"/>
      <c r="I15" s="10"/>
    </row>
    <row r="16" spans="1:9" x14ac:dyDescent="0.25">
      <c r="A16" s="2">
        <v>2022</v>
      </c>
      <c r="B16" s="7">
        <v>2061.556</v>
      </c>
      <c r="C16" s="8">
        <f>('4. Prodotti Finiti'!$B16-B15)/B15</f>
        <v>3.2024169184290033E-2</v>
      </c>
      <c r="D16" s="7">
        <v>1672.9280000000001</v>
      </c>
      <c r="E16" s="8">
        <f>('4. Prodotti Finiti'!$D16-D15)/D15</f>
        <v>0.23932894079856826</v>
      </c>
      <c r="F16" s="7">
        <f>SUM('4. Prodotti Finiti'!$B16,'4. Prodotti Finiti'!$D16)</f>
        <v>3734.4840000000004</v>
      </c>
      <c r="G16" s="8">
        <f>('4. Prodotti Finiti'!$F16-F15)/F15</f>
        <v>0.11562021370887889</v>
      </c>
      <c r="H16" s="7"/>
      <c r="I16" s="10"/>
    </row>
    <row r="17" spans="1:9" x14ac:dyDescent="0.25">
      <c r="A17" s="2">
        <v>2023</v>
      </c>
      <c r="B17" s="7">
        <f>'Prodotti finiti mese'!C34/1000</f>
        <v>1421.0809999999999</v>
      </c>
      <c r="C17" s="8">
        <f>('4. Prodotti Finiti'!$B17-B16)/B16</f>
        <v>-0.31067552858132408</v>
      </c>
      <c r="D17" s="7">
        <f>'Prodotti finiti mese'!$C17/1000</f>
        <v>1401.4136699999997</v>
      </c>
      <c r="E17" s="8">
        <f>('4. Prodotti Finiti'!$D17-D16)/D16</f>
        <v>-0.16229887359169098</v>
      </c>
      <c r="F17" s="7">
        <f>SUM('4. Prodotti Finiti'!$B17,'4. Prodotti Finiti'!$D17)</f>
        <v>2822.4946699999996</v>
      </c>
      <c r="G17" s="8">
        <f>('4. Prodotti Finiti'!$F17-F16)/F16</f>
        <v>-0.24420758798270409</v>
      </c>
      <c r="H17" s="7">
        <f>'Prodotti finiti mese'!$I17/1000</f>
        <v>1068.933</v>
      </c>
      <c r="I17" s="10"/>
    </row>
    <row r="18" spans="1:9" x14ac:dyDescent="0.25">
      <c r="A18" s="2">
        <v>2024</v>
      </c>
      <c r="B18" s="7">
        <f>'Prodotti finiti mese'!D34/1000</f>
        <v>1226.8720000000001</v>
      </c>
      <c r="C18" s="8">
        <f>('4. Prodotti Finiti'!$B18-B17)/B17</f>
        <v>-0.13666286439689213</v>
      </c>
      <c r="D18" s="7">
        <f>'Prodotti finiti mese'!D17/1000</f>
        <v>1318.0743599999998</v>
      </c>
      <c r="E18" s="8">
        <f>('4. Prodotti Finiti'!$D18-D17)/D17</f>
        <v>-5.9468029878715155E-2</v>
      </c>
      <c r="F18" s="7">
        <f>SUM('4. Prodotti Finiti'!$B18,'4. Prodotti Finiti'!$D18)</f>
        <v>2544.9463599999999</v>
      </c>
      <c r="G18" s="8">
        <f>('4. Prodotti Finiti'!$F18-F17)/F17</f>
        <v>-9.8334396500383725E-2</v>
      </c>
      <c r="H18" s="7">
        <f>'Prodotti finiti mese'!J17/1000</f>
        <v>1080.6849999999999</v>
      </c>
      <c r="I18" s="8">
        <f>('4. Prodotti Finiti'!$H18-H17)/H17</f>
        <v>1.0994140886285626E-2</v>
      </c>
    </row>
    <row r="19" spans="1:9" x14ac:dyDescent="0.25">
      <c r="A19" s="2">
        <v>2025</v>
      </c>
      <c r="B19" s="7"/>
      <c r="C19" s="8"/>
      <c r="D19" s="7"/>
      <c r="E19" s="8"/>
      <c r="F19" s="7"/>
      <c r="G19" s="8"/>
      <c r="H19" s="7"/>
      <c r="I19" s="8"/>
    </row>
    <row r="20" spans="1:9" x14ac:dyDescent="0.25">
      <c r="A20" s="2">
        <v>2026</v>
      </c>
      <c r="B20" s="7"/>
      <c r="C20" s="8"/>
      <c r="D20" s="7"/>
      <c r="E20" s="10"/>
      <c r="F20" s="7"/>
      <c r="G20" s="10"/>
      <c r="H20" s="7"/>
      <c r="I20" s="7"/>
    </row>
    <row r="21" spans="1:9" ht="15.75" customHeight="1" x14ac:dyDescent="0.25">
      <c r="A21" s="2">
        <v>2027</v>
      </c>
      <c r="B21" s="7"/>
      <c r="C21" s="8"/>
      <c r="D21" s="7"/>
      <c r="E21" s="10"/>
      <c r="F21" s="7"/>
      <c r="G21" s="10"/>
      <c r="H21" s="7"/>
      <c r="I21" s="7"/>
    </row>
    <row r="22" spans="1:9" ht="15.75" customHeight="1" x14ac:dyDescent="0.25">
      <c r="A22" s="2">
        <v>2028</v>
      </c>
      <c r="B22" s="7"/>
      <c r="C22" s="8"/>
      <c r="D22" s="7"/>
      <c r="E22" s="10"/>
      <c r="F22" s="7"/>
      <c r="G22" s="10"/>
      <c r="H22" s="7"/>
      <c r="I22" s="7"/>
    </row>
    <row r="23" spans="1:9" ht="15.75" customHeight="1" x14ac:dyDescent="0.25">
      <c r="A23" s="2">
        <v>2029</v>
      </c>
      <c r="B23" s="7"/>
      <c r="C23" s="8"/>
      <c r="D23" s="7"/>
      <c r="E23" s="10"/>
      <c r="F23" s="7"/>
      <c r="G23" s="10"/>
      <c r="H23" s="7"/>
      <c r="I23" s="7"/>
    </row>
    <row r="24" spans="1:9" ht="15.75" customHeight="1" x14ac:dyDescent="0.25">
      <c r="A24" s="2">
        <v>2030</v>
      </c>
      <c r="B24" s="7"/>
      <c r="C24" s="8"/>
      <c r="D24" s="7"/>
      <c r="E24" s="10"/>
      <c r="F24" s="7"/>
      <c r="G24" s="10"/>
      <c r="H24" s="7"/>
      <c r="I24" s="7"/>
    </row>
  </sheetData>
  <conditionalFormatting sqref="C5:C24 E5:E24 G5:G24">
    <cfRule type="cellIs" dxfId="41" priority="1" operator="lessThan">
      <formula>0</formula>
    </cfRule>
    <cfRule type="cellIs" dxfId="40" priority="2" operator="greaterThan">
      <formula>0</formula>
    </cfRule>
  </conditionalFormatting>
  <conditionalFormatting sqref="I5:I19">
    <cfRule type="cellIs" dxfId="39" priority="3" operator="lessThan">
      <formula>0</formula>
    </cfRule>
    <cfRule type="cellIs" dxfId="38" priority="4" operator="greaterThan">
      <formula>0</formula>
    </cfRule>
  </conditionalFormatting>
  <pageMargins left="0.70866141732283472" right="0.70866141732283472" top="0.74803149606299213" bottom="0.74803149606299213" header="0" footer="0"/>
  <pageSetup paperSize="9" orientation="landscape"/>
  <headerFooter>
    <oddFooter>&amp;L&amp;A&amp;R&amp;F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CC2E5"/>
  </sheetPr>
  <dimension ref="A1:K51"/>
  <sheetViews>
    <sheetView showGridLines="0" workbookViewId="0">
      <selection activeCell="G46" sqref="G46"/>
    </sheetView>
  </sheetViews>
  <sheetFormatPr defaultColWidth="14.42578125" defaultRowHeight="15" customHeight="1" x14ac:dyDescent="0.25"/>
  <cols>
    <col min="1" max="5" width="12.7109375" customWidth="1"/>
    <col min="6" max="6" width="8.7109375" customWidth="1"/>
    <col min="7" max="11" width="12.7109375" customWidth="1"/>
    <col min="12" max="26" width="8.7109375" customWidth="1"/>
  </cols>
  <sheetData>
    <row r="1" spans="1:11" x14ac:dyDescent="0.25">
      <c r="A1" s="1" t="s">
        <v>13</v>
      </c>
      <c r="B1" s="2"/>
      <c r="C1" s="2"/>
      <c r="D1" s="2"/>
      <c r="E1" s="2"/>
    </row>
    <row r="2" spans="1:11" x14ac:dyDescent="0.25">
      <c r="A2" s="1"/>
      <c r="B2" s="2"/>
      <c r="C2" s="2"/>
      <c r="D2" s="2"/>
      <c r="E2" s="2"/>
    </row>
    <row r="3" spans="1:11" x14ac:dyDescent="0.25">
      <c r="A3" s="1" t="s">
        <v>21</v>
      </c>
      <c r="B3" s="2"/>
      <c r="C3" s="2"/>
      <c r="D3" s="2"/>
      <c r="E3" s="2"/>
      <c r="G3" s="1" t="s">
        <v>22</v>
      </c>
      <c r="H3" s="2"/>
      <c r="I3" s="2"/>
      <c r="J3" s="2"/>
      <c r="K3" s="2"/>
    </row>
    <row r="4" spans="1:11" x14ac:dyDescent="0.25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  <c r="G4" s="2" t="s">
        <v>23</v>
      </c>
      <c r="H4" s="2" t="s">
        <v>24</v>
      </c>
      <c r="I4" s="2" t="s">
        <v>25</v>
      </c>
      <c r="J4" s="2" t="s">
        <v>26</v>
      </c>
      <c r="K4" s="2" t="s">
        <v>27</v>
      </c>
    </row>
    <row r="5" spans="1:11" x14ac:dyDescent="0.25">
      <c r="A5" s="2" t="s">
        <v>28</v>
      </c>
      <c r="B5" s="2" t="s">
        <v>29</v>
      </c>
      <c r="C5" s="11">
        <v>130416.87999999998</v>
      </c>
      <c r="D5" s="11">
        <v>102999.34000000001</v>
      </c>
      <c r="E5" s="11"/>
      <c r="G5" s="2" t="s">
        <v>28</v>
      </c>
      <c r="H5" s="2" t="s">
        <v>29</v>
      </c>
      <c r="I5" s="11">
        <v>96679</v>
      </c>
      <c r="J5" s="11">
        <v>76950</v>
      </c>
      <c r="K5" s="11"/>
    </row>
    <row r="6" spans="1:11" x14ac:dyDescent="0.25">
      <c r="A6" s="2" t="s">
        <v>30</v>
      </c>
      <c r="B6" s="2" t="s">
        <v>29</v>
      </c>
      <c r="C6" s="11">
        <v>168844.34999999998</v>
      </c>
      <c r="D6" s="11">
        <v>131751.41</v>
      </c>
      <c r="E6" s="11"/>
      <c r="G6" s="2" t="s">
        <v>30</v>
      </c>
      <c r="H6" s="2" t="s">
        <v>29</v>
      </c>
      <c r="I6" s="11">
        <v>106401</v>
      </c>
      <c r="J6" s="11">
        <v>107425</v>
      </c>
      <c r="K6" s="11"/>
    </row>
    <row r="7" spans="1:11" x14ac:dyDescent="0.25">
      <c r="A7" s="2" t="s">
        <v>31</v>
      </c>
      <c r="B7" s="2" t="s">
        <v>29</v>
      </c>
      <c r="C7" s="11">
        <v>180382.77000000002</v>
      </c>
      <c r="D7" s="11">
        <v>124980.61000000002</v>
      </c>
      <c r="E7" s="11"/>
      <c r="G7" s="2" t="s">
        <v>31</v>
      </c>
      <c r="H7" s="2" t="s">
        <v>29</v>
      </c>
      <c r="I7" s="11">
        <v>130436</v>
      </c>
      <c r="J7" s="11">
        <v>107328</v>
      </c>
      <c r="K7" s="11"/>
    </row>
    <row r="8" spans="1:11" x14ac:dyDescent="0.25">
      <c r="A8" s="2" t="s">
        <v>32</v>
      </c>
      <c r="B8" s="2" t="s">
        <v>29</v>
      </c>
      <c r="C8" s="11">
        <v>107257.68</v>
      </c>
      <c r="D8" s="11">
        <v>111201.65</v>
      </c>
      <c r="E8" s="11"/>
      <c r="G8" s="2" t="s">
        <v>32</v>
      </c>
      <c r="H8" s="2" t="s">
        <v>29</v>
      </c>
      <c r="I8" s="11">
        <v>80180</v>
      </c>
      <c r="J8" s="11">
        <v>98844</v>
      </c>
      <c r="K8" s="11"/>
    </row>
    <row r="9" spans="1:11" x14ac:dyDescent="0.25">
      <c r="A9" s="2" t="s">
        <v>33</v>
      </c>
      <c r="B9" s="2" t="s">
        <v>29</v>
      </c>
      <c r="C9" s="11">
        <v>171414.70999999996</v>
      </c>
      <c r="D9" s="11">
        <v>135306.09</v>
      </c>
      <c r="E9" s="11"/>
      <c r="G9" s="2" t="s">
        <v>33</v>
      </c>
      <c r="H9" s="2" t="s">
        <v>29</v>
      </c>
      <c r="I9" s="11">
        <v>130289</v>
      </c>
      <c r="J9" s="11">
        <v>97451</v>
      </c>
      <c r="K9" s="11"/>
    </row>
    <row r="10" spans="1:11" x14ac:dyDescent="0.25">
      <c r="A10" s="2" t="s">
        <v>34</v>
      </c>
      <c r="B10" s="2" t="s">
        <v>29</v>
      </c>
      <c r="C10" s="11">
        <v>135589</v>
      </c>
      <c r="D10" s="11">
        <v>136498.37000000002</v>
      </c>
      <c r="E10" s="11"/>
      <c r="G10" s="2" t="s">
        <v>34</v>
      </c>
      <c r="H10" s="2" t="s">
        <v>29</v>
      </c>
      <c r="I10" s="11">
        <v>112921</v>
      </c>
      <c r="J10" s="11">
        <v>114764</v>
      </c>
      <c r="K10" s="11"/>
    </row>
    <row r="11" spans="1:11" x14ac:dyDescent="0.25">
      <c r="A11" s="2" t="s">
        <v>35</v>
      </c>
      <c r="B11" s="2" t="s">
        <v>29</v>
      </c>
      <c r="C11" s="11">
        <v>82973.900000000009</v>
      </c>
      <c r="D11" s="11">
        <v>116324.76999999999</v>
      </c>
      <c r="E11" s="11"/>
      <c r="G11" s="2" t="s">
        <v>35</v>
      </c>
      <c r="H11" s="2" t="s">
        <v>29</v>
      </c>
      <c r="I11" s="11">
        <v>79364</v>
      </c>
      <c r="J11" s="11">
        <v>114595</v>
      </c>
      <c r="K11" s="11"/>
    </row>
    <row r="12" spans="1:11" x14ac:dyDescent="0.25">
      <c r="A12" s="2" t="s">
        <v>36</v>
      </c>
      <c r="B12" s="2" t="s">
        <v>29</v>
      </c>
      <c r="C12" s="11">
        <v>10415.960000000001</v>
      </c>
      <c r="D12" s="11">
        <v>0</v>
      </c>
      <c r="E12" s="11"/>
      <c r="G12" s="2" t="s">
        <v>36</v>
      </c>
      <c r="H12" s="2" t="s">
        <v>29</v>
      </c>
      <c r="I12" s="11">
        <v>9773</v>
      </c>
      <c r="J12" s="11">
        <v>7217</v>
      </c>
      <c r="K12" s="11"/>
    </row>
    <row r="13" spans="1:11" x14ac:dyDescent="0.25">
      <c r="A13" s="2" t="s">
        <v>37</v>
      </c>
      <c r="B13" s="2" t="s">
        <v>29</v>
      </c>
      <c r="C13" s="11">
        <v>141529.76999999999</v>
      </c>
      <c r="D13" s="11">
        <v>132591.71</v>
      </c>
      <c r="E13" s="11"/>
      <c r="G13" s="2" t="s">
        <v>37</v>
      </c>
      <c r="H13" s="2" t="s">
        <v>29</v>
      </c>
      <c r="I13" s="11">
        <v>89317</v>
      </c>
      <c r="J13" s="11">
        <v>81692</v>
      </c>
      <c r="K13" s="11"/>
    </row>
    <row r="14" spans="1:11" x14ac:dyDescent="0.25">
      <c r="A14" s="2" t="s">
        <v>38</v>
      </c>
      <c r="B14" s="2" t="s">
        <v>29</v>
      </c>
      <c r="C14" s="11">
        <v>159906.93</v>
      </c>
      <c r="D14" s="11">
        <v>142628.66</v>
      </c>
      <c r="E14" s="11"/>
      <c r="G14" s="2" t="s">
        <v>38</v>
      </c>
      <c r="H14" s="2" t="s">
        <v>29</v>
      </c>
      <c r="I14" s="11">
        <v>118480</v>
      </c>
      <c r="J14" s="11">
        <v>117911</v>
      </c>
      <c r="K14" s="11"/>
    </row>
    <row r="15" spans="1:11" x14ac:dyDescent="0.25">
      <c r="A15" s="2" t="s">
        <v>39</v>
      </c>
      <c r="B15" s="2" t="s">
        <v>29</v>
      </c>
      <c r="C15" s="11">
        <v>60659.679999999993</v>
      </c>
      <c r="D15" s="11">
        <v>112409.41000000002</v>
      </c>
      <c r="E15" s="11"/>
      <c r="G15" s="2" t="s">
        <v>39</v>
      </c>
      <c r="H15" s="2" t="s">
        <v>29</v>
      </c>
      <c r="I15" s="11">
        <v>68258</v>
      </c>
      <c r="J15" s="11">
        <v>90038</v>
      </c>
      <c r="K15" s="11"/>
    </row>
    <row r="16" spans="1:11" x14ac:dyDescent="0.25">
      <c r="A16" s="2" t="s">
        <v>40</v>
      </c>
      <c r="B16" s="2" t="s">
        <v>29</v>
      </c>
      <c r="C16" s="11">
        <v>52022.04</v>
      </c>
      <c r="D16" s="11">
        <v>71382.34</v>
      </c>
      <c r="E16" s="11"/>
      <c r="G16" s="2" t="s">
        <v>40</v>
      </c>
      <c r="H16" s="2" t="s">
        <v>29</v>
      </c>
      <c r="I16" s="11">
        <v>46835</v>
      </c>
      <c r="J16" s="11">
        <v>66470</v>
      </c>
      <c r="K16" s="11"/>
    </row>
    <row r="17" spans="1:11" x14ac:dyDescent="0.25">
      <c r="A17" s="12" t="s">
        <v>41</v>
      </c>
      <c r="B17" s="2" t="s">
        <v>29</v>
      </c>
      <c r="C17" s="13">
        <f t="shared" ref="C17:E17" si="0">SUBTOTAL(109,C5:C16)</f>
        <v>1401413.6699999997</v>
      </c>
      <c r="D17" s="13">
        <f t="shared" si="0"/>
        <v>1318074.3599999999</v>
      </c>
      <c r="E17" s="13">
        <f t="shared" si="0"/>
        <v>0</v>
      </c>
      <c r="G17" s="12" t="s">
        <v>41</v>
      </c>
      <c r="H17" s="2" t="s">
        <v>29</v>
      </c>
      <c r="I17" s="13">
        <f t="shared" ref="I17:K17" si="1">SUBTOTAL(109,I5:I16)</f>
        <v>1068933</v>
      </c>
      <c r="J17" s="13">
        <f t="shared" si="1"/>
        <v>1080685</v>
      </c>
      <c r="K17" s="13">
        <f t="shared" si="1"/>
        <v>0</v>
      </c>
    </row>
    <row r="18" spans="1:11" x14ac:dyDescent="0.25">
      <c r="A18" s="14"/>
      <c r="B18" s="15"/>
      <c r="C18" s="16"/>
      <c r="D18" s="16"/>
      <c r="E18" s="16"/>
      <c r="G18" s="14"/>
      <c r="H18" s="15"/>
      <c r="I18" s="16"/>
      <c r="J18" s="16"/>
      <c r="K18" s="16"/>
    </row>
    <row r="20" spans="1:11" x14ac:dyDescent="0.25">
      <c r="A20" s="1" t="s">
        <v>42</v>
      </c>
      <c r="B20" s="2"/>
      <c r="C20" s="2"/>
      <c r="D20" s="2"/>
      <c r="E20" s="2"/>
      <c r="G20" s="1" t="s">
        <v>43</v>
      </c>
      <c r="H20" s="2"/>
      <c r="I20" s="2"/>
      <c r="J20" s="2"/>
      <c r="K20" s="2"/>
    </row>
    <row r="21" spans="1:11" ht="15.75" customHeight="1" x14ac:dyDescent="0.25">
      <c r="A21" s="2" t="s">
        <v>23</v>
      </c>
      <c r="B21" s="2" t="s">
        <v>24</v>
      </c>
      <c r="C21" s="2" t="s">
        <v>25</v>
      </c>
      <c r="D21" s="2" t="s">
        <v>26</v>
      </c>
      <c r="E21" s="2" t="s">
        <v>27</v>
      </c>
      <c r="G21" s="2" t="s">
        <v>23</v>
      </c>
      <c r="H21" s="2" t="s">
        <v>24</v>
      </c>
      <c r="I21" s="2" t="s">
        <v>25</v>
      </c>
      <c r="J21" s="2" t="s">
        <v>26</v>
      </c>
      <c r="K21" s="2" t="s">
        <v>27</v>
      </c>
    </row>
    <row r="22" spans="1:11" ht="15.75" customHeight="1" x14ac:dyDescent="0.25">
      <c r="A22" s="2" t="s">
        <v>28</v>
      </c>
      <c r="B22" s="2" t="s">
        <v>29</v>
      </c>
      <c r="C22" s="11">
        <v>136408</v>
      </c>
      <c r="D22" s="11">
        <v>65535</v>
      </c>
      <c r="E22" s="11"/>
      <c r="G22" s="2" t="s">
        <v>28</v>
      </c>
      <c r="H22" s="2" t="s">
        <v>29</v>
      </c>
      <c r="I22" s="11">
        <v>107325</v>
      </c>
      <c r="J22" s="11">
        <v>76312</v>
      </c>
      <c r="K22" s="11"/>
    </row>
    <row r="23" spans="1:11" ht="15.75" customHeight="1" x14ac:dyDescent="0.25">
      <c r="A23" s="2" t="s">
        <v>30</v>
      </c>
      <c r="B23" s="2" t="s">
        <v>29</v>
      </c>
      <c r="C23" s="11">
        <v>181290</v>
      </c>
      <c r="D23" s="11">
        <v>101450</v>
      </c>
      <c r="E23" s="11"/>
      <c r="G23" s="2" t="s">
        <v>30</v>
      </c>
      <c r="H23" s="2" t="s">
        <v>29</v>
      </c>
      <c r="I23" s="11">
        <v>121283</v>
      </c>
      <c r="J23" s="11">
        <v>108380</v>
      </c>
      <c r="K23" s="11"/>
    </row>
    <row r="24" spans="1:11" ht="15.75" customHeight="1" x14ac:dyDescent="0.25">
      <c r="A24" s="2" t="s">
        <v>31</v>
      </c>
      <c r="B24" s="2" t="s">
        <v>29</v>
      </c>
      <c r="C24" s="11">
        <v>208243</v>
      </c>
      <c r="D24" s="11">
        <v>108798</v>
      </c>
      <c r="E24" s="11"/>
      <c r="G24" s="2" t="s">
        <v>31</v>
      </c>
      <c r="H24" s="2" t="s">
        <v>29</v>
      </c>
      <c r="I24" s="11">
        <v>150667</v>
      </c>
      <c r="J24" s="11">
        <v>104964</v>
      </c>
      <c r="K24" s="11"/>
    </row>
    <row r="25" spans="1:11" ht="15.75" customHeight="1" x14ac:dyDescent="0.25">
      <c r="A25" s="2" t="s">
        <v>32</v>
      </c>
      <c r="B25" s="2" t="s">
        <v>29</v>
      </c>
      <c r="C25" s="11">
        <v>133453</v>
      </c>
      <c r="D25" s="11">
        <v>101313</v>
      </c>
      <c r="E25" s="11"/>
      <c r="G25" s="2" t="s">
        <v>32</v>
      </c>
      <c r="H25" s="2" t="s">
        <v>29</v>
      </c>
      <c r="I25" s="11">
        <v>93785</v>
      </c>
      <c r="J25" s="11">
        <v>96176</v>
      </c>
      <c r="K25" s="11"/>
    </row>
    <row r="26" spans="1:11" ht="15.75" customHeight="1" x14ac:dyDescent="0.25">
      <c r="A26" s="2" t="s">
        <v>33</v>
      </c>
      <c r="B26" s="2" t="s">
        <v>29</v>
      </c>
      <c r="C26" s="11">
        <v>150875</v>
      </c>
      <c r="D26" s="11">
        <v>129181</v>
      </c>
      <c r="E26" s="11"/>
      <c r="G26" s="2" t="s">
        <v>33</v>
      </c>
      <c r="H26" s="2" t="s">
        <v>29</v>
      </c>
      <c r="I26" s="11">
        <v>151683</v>
      </c>
      <c r="J26" s="11">
        <v>101478</v>
      </c>
      <c r="K26" s="11"/>
    </row>
    <row r="27" spans="1:11" ht="15.75" customHeight="1" x14ac:dyDescent="0.25">
      <c r="A27" s="2" t="s">
        <v>34</v>
      </c>
      <c r="B27" s="2" t="s">
        <v>29</v>
      </c>
      <c r="C27" s="11">
        <v>135640</v>
      </c>
      <c r="D27" s="11">
        <v>113881</v>
      </c>
      <c r="E27" s="11"/>
      <c r="G27" s="2" t="s">
        <v>34</v>
      </c>
      <c r="H27" s="2" t="s">
        <v>29</v>
      </c>
      <c r="I27" s="11">
        <v>137361</v>
      </c>
      <c r="J27" s="11">
        <v>113453</v>
      </c>
      <c r="K27" s="11"/>
    </row>
    <row r="28" spans="1:11" ht="15.75" customHeight="1" x14ac:dyDescent="0.25">
      <c r="A28" s="2" t="s">
        <v>35</v>
      </c>
      <c r="B28" s="2" t="s">
        <v>29</v>
      </c>
      <c r="C28" s="11">
        <v>92830</v>
      </c>
      <c r="D28" s="11">
        <v>147691</v>
      </c>
      <c r="E28" s="11"/>
      <c r="G28" s="2" t="s">
        <v>35</v>
      </c>
      <c r="H28" s="2" t="s">
        <v>29</v>
      </c>
      <c r="I28" s="11">
        <v>73462</v>
      </c>
      <c r="J28" s="11">
        <v>113084</v>
      </c>
      <c r="K28" s="11"/>
    </row>
    <row r="29" spans="1:11" ht="15.75" customHeight="1" x14ac:dyDescent="0.25">
      <c r="A29" s="2" t="s">
        <v>36</v>
      </c>
      <c r="B29" s="2" t="s">
        <v>29</v>
      </c>
      <c r="C29" s="11">
        <v>24254</v>
      </c>
      <c r="D29" s="11">
        <v>0</v>
      </c>
      <c r="E29" s="11"/>
      <c r="G29" s="2" t="s">
        <v>36</v>
      </c>
      <c r="H29" s="2" t="s">
        <v>29</v>
      </c>
      <c r="I29" s="11">
        <v>9176</v>
      </c>
      <c r="J29" s="11">
        <v>7384</v>
      </c>
      <c r="K29" s="11"/>
    </row>
    <row r="30" spans="1:11" ht="15.75" customHeight="1" x14ac:dyDescent="0.25">
      <c r="A30" s="2" t="s">
        <v>37</v>
      </c>
      <c r="B30" s="2" t="s">
        <v>29</v>
      </c>
      <c r="C30" s="11">
        <v>118799</v>
      </c>
      <c r="D30" s="11">
        <v>110518</v>
      </c>
      <c r="E30" s="11"/>
      <c r="G30" s="2" t="s">
        <v>37</v>
      </c>
      <c r="H30" s="2" t="s">
        <v>29</v>
      </c>
      <c r="I30" s="11">
        <v>109267</v>
      </c>
      <c r="J30" s="11">
        <v>89538</v>
      </c>
      <c r="K30" s="11"/>
    </row>
    <row r="31" spans="1:11" ht="15.75" customHeight="1" x14ac:dyDescent="0.25">
      <c r="A31" s="2" t="s">
        <v>38</v>
      </c>
      <c r="B31" s="2" t="s">
        <v>29</v>
      </c>
      <c r="C31" s="11">
        <v>111752</v>
      </c>
      <c r="D31" s="11">
        <v>121880</v>
      </c>
      <c r="E31" s="11"/>
      <c r="G31" s="2" t="s">
        <v>38</v>
      </c>
      <c r="H31" s="2" t="s">
        <v>29</v>
      </c>
      <c r="I31" s="11">
        <v>145892</v>
      </c>
      <c r="J31" s="11">
        <v>137226</v>
      </c>
      <c r="K31" s="11"/>
    </row>
    <row r="32" spans="1:11" ht="15.75" customHeight="1" x14ac:dyDescent="0.25">
      <c r="A32" s="2" t="s">
        <v>39</v>
      </c>
      <c r="B32" s="2" t="s">
        <v>29</v>
      </c>
      <c r="C32" s="11">
        <v>59179</v>
      </c>
      <c r="D32" s="11">
        <v>136717</v>
      </c>
      <c r="E32" s="11"/>
      <c r="G32" s="2" t="s">
        <v>39</v>
      </c>
      <c r="H32" s="2" t="s">
        <v>29</v>
      </c>
      <c r="I32" s="11">
        <v>77963</v>
      </c>
      <c r="J32" s="11">
        <v>108155</v>
      </c>
      <c r="K32" s="11"/>
    </row>
    <row r="33" spans="1:11" ht="15.75" customHeight="1" x14ac:dyDescent="0.25">
      <c r="A33" s="2" t="s">
        <v>40</v>
      </c>
      <c r="B33" s="2" t="s">
        <v>29</v>
      </c>
      <c r="C33" s="11">
        <v>68358</v>
      </c>
      <c r="D33" s="11">
        <v>89908</v>
      </c>
      <c r="E33" s="11"/>
      <c r="G33" s="2" t="s">
        <v>40</v>
      </c>
      <c r="H33" s="2" t="s">
        <v>29</v>
      </c>
      <c r="I33" s="11">
        <v>49254</v>
      </c>
      <c r="J33" s="11">
        <v>65234</v>
      </c>
      <c r="K33" s="11"/>
    </row>
    <row r="34" spans="1:11" ht="15.75" customHeight="1" x14ac:dyDescent="0.25">
      <c r="A34" s="12" t="s">
        <v>41</v>
      </c>
      <c r="B34" s="2" t="s">
        <v>29</v>
      </c>
      <c r="C34" s="13">
        <f t="shared" ref="C34:E34" si="2">SUBTOTAL(109,C22:C33)</f>
        <v>1421081</v>
      </c>
      <c r="D34" s="13">
        <f t="shared" si="2"/>
        <v>1226872</v>
      </c>
      <c r="E34" s="13">
        <f t="shared" si="2"/>
        <v>0</v>
      </c>
      <c r="G34" s="12" t="s">
        <v>41</v>
      </c>
      <c r="H34" s="2" t="s">
        <v>29</v>
      </c>
      <c r="I34" s="13">
        <f t="shared" ref="I34:K34" si="3">SUBTOTAL(109,I22:I33)</f>
        <v>1227118</v>
      </c>
      <c r="J34" s="13">
        <f t="shared" si="3"/>
        <v>1121384</v>
      </c>
      <c r="K34" s="13">
        <f t="shared" si="3"/>
        <v>0</v>
      </c>
    </row>
    <row r="35" spans="1:11" ht="15.75" customHeight="1" x14ac:dyDescent="0.25"/>
    <row r="36" spans="1:11" ht="15.75" customHeight="1" x14ac:dyDescent="0.25"/>
    <row r="37" spans="1:11" ht="15.75" customHeight="1" x14ac:dyDescent="0.25">
      <c r="A37" s="1" t="s">
        <v>44</v>
      </c>
      <c r="B37" s="2"/>
      <c r="C37" s="2"/>
      <c r="D37" s="2"/>
      <c r="E37" s="2"/>
    </row>
    <row r="38" spans="1:11" ht="15.75" customHeight="1" x14ac:dyDescent="0.25">
      <c r="A38" s="2" t="s">
        <v>23</v>
      </c>
      <c r="B38" s="2" t="s">
        <v>24</v>
      </c>
      <c r="C38" s="2" t="s">
        <v>25</v>
      </c>
      <c r="D38" s="2" t="s">
        <v>26</v>
      </c>
      <c r="E38" s="2" t="s">
        <v>27</v>
      </c>
    </row>
    <row r="39" spans="1:11" ht="15.75" customHeight="1" x14ac:dyDescent="0.25">
      <c r="A39" s="2" t="s">
        <v>28</v>
      </c>
      <c r="B39" s="2" t="s">
        <v>29</v>
      </c>
      <c r="C39" s="11">
        <f t="shared" ref="C39:E39" si="4">C5+C22</f>
        <v>266824.88</v>
      </c>
      <c r="D39" s="11">
        <f t="shared" si="4"/>
        <v>168534.34000000003</v>
      </c>
      <c r="E39" s="11">
        <f t="shared" si="4"/>
        <v>0</v>
      </c>
    </row>
    <row r="40" spans="1:11" ht="15.75" customHeight="1" x14ac:dyDescent="0.25">
      <c r="A40" s="2" t="s">
        <v>30</v>
      </c>
      <c r="B40" s="2" t="s">
        <v>29</v>
      </c>
      <c r="C40" s="11">
        <f t="shared" ref="C40:E40" si="5">C6+C23</f>
        <v>350134.35</v>
      </c>
      <c r="D40" s="11">
        <f t="shared" si="5"/>
        <v>233201.41</v>
      </c>
      <c r="E40" s="11">
        <f t="shared" si="5"/>
        <v>0</v>
      </c>
    </row>
    <row r="41" spans="1:11" ht="15.75" customHeight="1" x14ac:dyDescent="0.25">
      <c r="A41" s="2" t="s">
        <v>31</v>
      </c>
      <c r="B41" s="2" t="s">
        <v>29</v>
      </c>
      <c r="C41" s="11">
        <f t="shared" ref="C41:E41" si="6">C7+C24</f>
        <v>388625.77</v>
      </c>
      <c r="D41" s="11">
        <f t="shared" si="6"/>
        <v>233778.61000000002</v>
      </c>
      <c r="E41" s="11">
        <f t="shared" si="6"/>
        <v>0</v>
      </c>
      <c r="F41" s="17">
        <f>SUM(E39:E41)</f>
        <v>0</v>
      </c>
    </row>
    <row r="42" spans="1:11" ht="15.75" customHeight="1" x14ac:dyDescent="0.25">
      <c r="A42" s="2" t="s">
        <v>32</v>
      </c>
      <c r="B42" s="2" t="s">
        <v>29</v>
      </c>
      <c r="C42" s="11">
        <f t="shared" ref="C42:E42" si="7">C8+C25</f>
        <v>240710.68</v>
      </c>
      <c r="D42" s="11">
        <f t="shared" si="7"/>
        <v>212514.65</v>
      </c>
      <c r="E42" s="11">
        <f t="shared" si="7"/>
        <v>0</v>
      </c>
    </row>
    <row r="43" spans="1:11" ht="15.75" customHeight="1" x14ac:dyDescent="0.25">
      <c r="A43" s="2" t="s">
        <v>33</v>
      </c>
      <c r="B43" s="2" t="s">
        <v>29</v>
      </c>
      <c r="C43" s="11">
        <f t="shared" ref="C43:E43" si="8">C9+C26</f>
        <v>322289.70999999996</v>
      </c>
      <c r="D43" s="11">
        <f t="shared" si="8"/>
        <v>264487.08999999997</v>
      </c>
      <c r="E43" s="11">
        <f t="shared" si="8"/>
        <v>0</v>
      </c>
    </row>
    <row r="44" spans="1:11" ht="15.75" customHeight="1" x14ac:dyDescent="0.25">
      <c r="A44" s="2" t="s">
        <v>34</v>
      </c>
      <c r="B44" s="2" t="s">
        <v>29</v>
      </c>
      <c r="C44" s="11">
        <f t="shared" ref="C44:E44" si="9">C10+C27</f>
        <v>271229</v>
      </c>
      <c r="D44" s="11">
        <f t="shared" si="9"/>
        <v>250379.37000000002</v>
      </c>
      <c r="E44" s="11">
        <f t="shared" si="9"/>
        <v>0</v>
      </c>
      <c r="F44" s="17">
        <f>SUM(E42:E44)</f>
        <v>0</v>
      </c>
    </row>
    <row r="45" spans="1:11" ht="15.75" customHeight="1" x14ac:dyDescent="0.25">
      <c r="A45" s="2" t="s">
        <v>35</v>
      </c>
      <c r="B45" s="2" t="s">
        <v>29</v>
      </c>
      <c r="C45" s="11">
        <f t="shared" ref="C45:E45" si="10">C11+C28</f>
        <v>175803.90000000002</v>
      </c>
      <c r="D45" s="11">
        <f t="shared" si="10"/>
        <v>264015.77</v>
      </c>
      <c r="E45" s="11">
        <f t="shared" si="10"/>
        <v>0</v>
      </c>
    </row>
    <row r="46" spans="1:11" ht="15.75" customHeight="1" x14ac:dyDescent="0.25">
      <c r="A46" s="2" t="s">
        <v>36</v>
      </c>
      <c r="B46" s="2" t="s">
        <v>29</v>
      </c>
      <c r="C46" s="11">
        <f t="shared" ref="C46:E46" si="11">C12+C29</f>
        <v>34669.96</v>
      </c>
      <c r="D46" s="11">
        <f t="shared" si="11"/>
        <v>0</v>
      </c>
      <c r="E46" s="11">
        <f t="shared" si="11"/>
        <v>0</v>
      </c>
    </row>
    <row r="47" spans="1:11" ht="15.75" customHeight="1" x14ac:dyDescent="0.25">
      <c r="A47" s="2" t="s">
        <v>37</v>
      </c>
      <c r="B47" s="2" t="s">
        <v>29</v>
      </c>
      <c r="C47" s="11">
        <f t="shared" ref="C47:E47" si="12">C13+C30</f>
        <v>260328.77</v>
      </c>
      <c r="D47" s="11">
        <f t="shared" si="12"/>
        <v>243109.71</v>
      </c>
      <c r="E47" s="11">
        <f t="shared" si="12"/>
        <v>0</v>
      </c>
      <c r="F47" s="17">
        <f>SUM(E45:E47)</f>
        <v>0</v>
      </c>
    </row>
    <row r="48" spans="1:11" ht="15.75" customHeight="1" x14ac:dyDescent="0.25">
      <c r="A48" s="2" t="s">
        <v>38</v>
      </c>
      <c r="B48" s="2" t="s">
        <v>29</v>
      </c>
      <c r="C48" s="11">
        <f t="shared" ref="C48:E48" si="13">C14+C31</f>
        <v>271658.93</v>
      </c>
      <c r="D48" s="11">
        <f t="shared" si="13"/>
        <v>264508.66000000003</v>
      </c>
      <c r="E48" s="11">
        <f t="shared" si="13"/>
        <v>0</v>
      </c>
    </row>
    <row r="49" spans="1:5" ht="15.75" customHeight="1" x14ac:dyDescent="0.25">
      <c r="A49" s="2" t="s">
        <v>39</v>
      </c>
      <c r="B49" s="2" t="s">
        <v>29</v>
      </c>
      <c r="C49" s="11">
        <f t="shared" ref="C49:E49" si="14">C15+C32</f>
        <v>119838.68</v>
      </c>
      <c r="D49" s="11">
        <f t="shared" si="14"/>
        <v>249126.41000000003</v>
      </c>
      <c r="E49" s="11">
        <f t="shared" si="14"/>
        <v>0</v>
      </c>
    </row>
    <row r="50" spans="1:5" ht="15.75" customHeight="1" x14ac:dyDescent="0.25">
      <c r="A50" s="2" t="s">
        <v>40</v>
      </c>
      <c r="B50" s="2" t="s">
        <v>29</v>
      </c>
      <c r="C50" s="11">
        <f t="shared" ref="C50:E50" si="15">C16+C33</f>
        <v>120380.04000000001</v>
      </c>
      <c r="D50" s="11">
        <f t="shared" si="15"/>
        <v>161290.34</v>
      </c>
      <c r="E50" s="11">
        <f t="shared" si="15"/>
        <v>0</v>
      </c>
    </row>
    <row r="51" spans="1:5" ht="15.75" customHeight="1" x14ac:dyDescent="0.25">
      <c r="A51" s="12" t="s">
        <v>41</v>
      </c>
      <c r="B51" s="2" t="s">
        <v>29</v>
      </c>
      <c r="C51" s="13">
        <f t="shared" ref="C51:E51" si="16">SUBTOTAL(109,C39:C50)</f>
        <v>2822494.6700000004</v>
      </c>
      <c r="D51" s="13">
        <f t="shared" si="16"/>
        <v>2544946.3600000003</v>
      </c>
      <c r="E51" s="13">
        <f t="shared" si="16"/>
        <v>0</v>
      </c>
    </row>
  </sheetData>
  <phoneticPr fontId="26" type="noConversion"/>
  <pageMargins left="0.7" right="0.7" top="0.75" bottom="0.75" header="0" footer="0"/>
  <pageSetup orientation="landscape"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8D08D"/>
  </sheetPr>
  <dimension ref="A1:R24"/>
  <sheetViews>
    <sheetView showGridLines="0" zoomScaleNormal="100" workbookViewId="0">
      <selection activeCell="Q19" sqref="Q19"/>
    </sheetView>
  </sheetViews>
  <sheetFormatPr defaultColWidth="14.42578125" defaultRowHeight="15" customHeight="1" x14ac:dyDescent="0.25"/>
  <cols>
    <col min="1" max="8" width="12.7109375" customWidth="1"/>
    <col min="9" max="9" width="6.7109375" customWidth="1"/>
    <col min="10" max="18" width="12.7109375" customWidth="1"/>
  </cols>
  <sheetData>
    <row r="1" spans="1:18" x14ac:dyDescent="0.25">
      <c r="A1" s="18" t="s">
        <v>45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  <c r="M1" s="18"/>
      <c r="N1" s="18"/>
      <c r="O1" s="18"/>
      <c r="P1" s="18"/>
      <c r="Q1" s="18"/>
      <c r="R1" s="2"/>
    </row>
    <row r="2" spans="1:18" x14ac:dyDescent="0.25">
      <c r="A2" s="18"/>
      <c r="B2" s="18"/>
      <c r="C2" s="18"/>
      <c r="D2" s="18"/>
      <c r="E2" s="18"/>
      <c r="F2" s="18"/>
      <c r="G2" s="18"/>
      <c r="H2" s="19"/>
      <c r="I2" s="18"/>
      <c r="J2" s="18"/>
      <c r="K2" s="18"/>
      <c r="L2" s="18"/>
      <c r="M2" s="18"/>
      <c r="N2" s="18"/>
      <c r="O2" s="18"/>
      <c r="P2" s="18"/>
      <c r="Q2" s="18"/>
      <c r="R2" s="2"/>
    </row>
    <row r="3" spans="1:18" x14ac:dyDescent="0.25">
      <c r="A3" s="4" t="s">
        <v>46</v>
      </c>
      <c r="B3" s="2"/>
      <c r="C3" s="2"/>
      <c r="D3" s="2"/>
      <c r="E3" s="18"/>
      <c r="F3" s="18"/>
      <c r="G3" s="18"/>
      <c r="H3" s="19"/>
      <c r="I3" s="18"/>
      <c r="J3" s="4" t="s">
        <v>47</v>
      </c>
      <c r="K3" s="2"/>
      <c r="L3" s="2"/>
      <c r="M3" s="2"/>
      <c r="N3" s="18"/>
      <c r="O3" s="18"/>
      <c r="P3" s="18"/>
      <c r="Q3" s="18"/>
      <c r="R3" s="2"/>
    </row>
    <row r="4" spans="1:18" s="101" customFormat="1" ht="48" x14ac:dyDescent="0.25">
      <c r="A4" s="93" t="s">
        <v>3</v>
      </c>
      <c r="B4" s="94" t="s">
        <v>457</v>
      </c>
      <c r="C4" s="94" t="s">
        <v>48</v>
      </c>
      <c r="D4" s="94" t="s">
        <v>49</v>
      </c>
      <c r="E4" s="105" t="s">
        <v>50</v>
      </c>
      <c r="F4" s="94" t="s">
        <v>458</v>
      </c>
      <c r="G4" s="107" t="s">
        <v>463</v>
      </c>
      <c r="H4" s="99" t="s">
        <v>5</v>
      </c>
      <c r="I4" s="106"/>
      <c r="J4" s="93" t="s">
        <v>3</v>
      </c>
      <c r="K4" s="94" t="s">
        <v>51</v>
      </c>
      <c r="L4" s="94" t="s">
        <v>459</v>
      </c>
      <c r="M4" s="94" t="s">
        <v>52</v>
      </c>
      <c r="N4" s="94" t="s">
        <v>460</v>
      </c>
      <c r="O4" s="94" t="s">
        <v>53</v>
      </c>
      <c r="P4" s="94" t="s">
        <v>461</v>
      </c>
      <c r="Q4" s="94" t="s">
        <v>54</v>
      </c>
      <c r="R4" s="94" t="s">
        <v>462</v>
      </c>
    </row>
    <row r="5" spans="1:18" ht="15" customHeight="1" x14ac:dyDescent="0.25">
      <c r="A5" s="2">
        <v>2011</v>
      </c>
      <c r="B5" s="20">
        <v>0</v>
      </c>
      <c r="C5" s="20">
        <v>0</v>
      </c>
      <c r="D5" s="20">
        <v>0</v>
      </c>
      <c r="E5" s="11">
        <f>'6. Consumo Risorse Idriche'!$B5+'6. Consumo Risorse Idriche'!$C5+'6. Consumo Risorse Idriche'!$D5</f>
        <v>0</v>
      </c>
      <c r="F5" s="20">
        <v>1851</v>
      </c>
      <c r="G5" s="11">
        <f>'6. Consumo Risorse Idriche'!$E5+'6. Consumo Risorse Idriche'!$F5</f>
        <v>1851</v>
      </c>
      <c r="H5" s="8"/>
      <c r="I5" s="18"/>
      <c r="J5" s="2">
        <v>2011</v>
      </c>
      <c r="K5" s="21">
        <v>0.24</v>
      </c>
      <c r="L5" s="20">
        <f>'6. Consumo Risorse Idriche'!$K5*'6. Consumo Risorse Idriche'!$E5</f>
        <v>0</v>
      </c>
      <c r="M5" s="21">
        <v>0.71</v>
      </c>
      <c r="N5" s="11">
        <f>'6. Consumo Risorse Idriche'!$M5*'6. Consumo Risorse Idriche'!$E5</f>
        <v>0</v>
      </c>
      <c r="O5" s="21">
        <v>0</v>
      </c>
      <c r="P5" s="11">
        <f>'6. Consumo Risorse Idriche'!$O5*'6. Consumo Risorse Idriche'!$E5</f>
        <v>0</v>
      </c>
      <c r="Q5" s="21">
        <v>0.05</v>
      </c>
      <c r="R5" s="11">
        <f>'6. Consumo Risorse Idriche'!$Q5*'6. Consumo Risorse Idriche'!$E5</f>
        <v>0</v>
      </c>
    </row>
    <row r="6" spans="1:18" x14ac:dyDescent="0.25">
      <c r="A6" s="2">
        <v>2012</v>
      </c>
      <c r="B6" s="20">
        <v>0</v>
      </c>
      <c r="C6" s="20">
        <v>0</v>
      </c>
      <c r="D6" s="20">
        <v>0</v>
      </c>
      <c r="E6" s="11">
        <v>184662</v>
      </c>
      <c r="F6" s="20">
        <v>0</v>
      </c>
      <c r="G6" s="11">
        <f>'6. Consumo Risorse Idriche'!$E6+'6. Consumo Risorse Idriche'!$F6</f>
        <v>184662</v>
      </c>
      <c r="H6" s="8"/>
      <c r="I6" s="18"/>
      <c r="J6" s="2">
        <v>2012</v>
      </c>
      <c r="K6" s="21">
        <v>0.24</v>
      </c>
      <c r="L6" s="20">
        <f>'6. Consumo Risorse Idriche'!$K6*'6. Consumo Risorse Idriche'!$E6</f>
        <v>44318.879999999997</v>
      </c>
      <c r="M6" s="21">
        <v>0.71</v>
      </c>
      <c r="N6" s="11">
        <f>'6. Consumo Risorse Idriche'!$M6*'6. Consumo Risorse Idriche'!$E6</f>
        <v>131110.01999999999</v>
      </c>
      <c r="O6" s="21">
        <v>0</v>
      </c>
      <c r="P6" s="11">
        <f>'6. Consumo Risorse Idriche'!$O6*'6. Consumo Risorse Idriche'!$E6</f>
        <v>0</v>
      </c>
      <c r="Q6" s="21">
        <v>0.05</v>
      </c>
      <c r="R6" s="11">
        <f>'6. Consumo Risorse Idriche'!$Q6*'6. Consumo Risorse Idriche'!$E6</f>
        <v>9233.1</v>
      </c>
    </row>
    <row r="7" spans="1:18" x14ac:dyDescent="0.25">
      <c r="A7" s="2">
        <v>2013</v>
      </c>
      <c r="B7" s="20">
        <v>0</v>
      </c>
      <c r="C7" s="20">
        <v>0</v>
      </c>
      <c r="D7" s="20">
        <v>0</v>
      </c>
      <c r="E7" s="11">
        <f>'6. Consumo Risorse Idriche'!$B7+'6. Consumo Risorse Idriche'!$C7+'6. Consumo Risorse Idriche'!$D7</f>
        <v>0</v>
      </c>
      <c r="F7" s="20">
        <v>682</v>
      </c>
      <c r="G7" s="11">
        <f>'6. Consumo Risorse Idriche'!$E7+'6. Consumo Risorse Idriche'!$F7</f>
        <v>682</v>
      </c>
      <c r="H7" s="8"/>
      <c r="I7" s="18"/>
      <c r="J7" s="2">
        <v>2013</v>
      </c>
      <c r="K7" s="21">
        <v>0.24</v>
      </c>
      <c r="L7" s="20">
        <f>'6. Consumo Risorse Idriche'!$K7*'6. Consumo Risorse Idriche'!$E7</f>
        <v>0</v>
      </c>
      <c r="M7" s="21">
        <v>0.71</v>
      </c>
      <c r="N7" s="11">
        <f>'6. Consumo Risorse Idriche'!$M7*'6. Consumo Risorse Idriche'!$E7</f>
        <v>0</v>
      </c>
      <c r="O7" s="21">
        <v>0</v>
      </c>
      <c r="P7" s="11">
        <f>'6. Consumo Risorse Idriche'!$O7*'6. Consumo Risorse Idriche'!$E7</f>
        <v>0</v>
      </c>
      <c r="Q7" s="21">
        <v>0.05</v>
      </c>
      <c r="R7" s="11">
        <f>'6. Consumo Risorse Idriche'!$Q7*'6. Consumo Risorse Idriche'!$E7</f>
        <v>0</v>
      </c>
    </row>
    <row r="8" spans="1:18" x14ac:dyDescent="0.25">
      <c r="A8" s="2">
        <v>2014</v>
      </c>
      <c r="B8" s="20">
        <v>88199</v>
      </c>
      <c r="C8" s="20">
        <v>8804</v>
      </c>
      <c r="D8" s="20">
        <v>98376</v>
      </c>
      <c r="E8" s="11">
        <f>'6. Consumo Risorse Idriche'!$B8+'6. Consumo Risorse Idriche'!$C8+'6. Consumo Risorse Idriche'!$D8</f>
        <v>195379</v>
      </c>
      <c r="F8" s="20">
        <v>681</v>
      </c>
      <c r="G8" s="11">
        <f>'6. Consumo Risorse Idriche'!$E8+'6. Consumo Risorse Idriche'!$F8</f>
        <v>196060</v>
      </c>
      <c r="H8" s="8"/>
      <c r="I8" s="18"/>
      <c r="J8" s="2">
        <v>2014</v>
      </c>
      <c r="K8" s="21">
        <v>0.24</v>
      </c>
      <c r="L8" s="20">
        <f>'6. Consumo Risorse Idriche'!$K8*'6. Consumo Risorse Idriche'!$E8</f>
        <v>46890.96</v>
      </c>
      <c r="M8" s="21">
        <v>0.71</v>
      </c>
      <c r="N8" s="11">
        <f>'6. Consumo Risorse Idriche'!$M8*'6. Consumo Risorse Idriche'!$E8</f>
        <v>138719.09</v>
      </c>
      <c r="O8" s="21">
        <v>0</v>
      </c>
      <c r="P8" s="11">
        <f>'6. Consumo Risorse Idriche'!$O8*'6. Consumo Risorse Idriche'!$E8</f>
        <v>0</v>
      </c>
      <c r="Q8" s="21">
        <v>0.05</v>
      </c>
      <c r="R8" s="11">
        <f>'6. Consumo Risorse Idriche'!$Q8*'6. Consumo Risorse Idriche'!$E8</f>
        <v>9768.9500000000007</v>
      </c>
    </row>
    <row r="9" spans="1:18" x14ac:dyDescent="0.25">
      <c r="A9" s="2">
        <v>2015</v>
      </c>
      <c r="B9" s="20">
        <v>80346</v>
      </c>
      <c r="C9" s="20">
        <v>12015</v>
      </c>
      <c r="D9" s="20">
        <v>79000</v>
      </c>
      <c r="E9" s="11">
        <f>'6. Consumo Risorse Idriche'!$B9+'6. Consumo Risorse Idriche'!$C9+'6. Consumo Risorse Idriche'!$D9</f>
        <v>171361</v>
      </c>
      <c r="F9" s="20">
        <v>854</v>
      </c>
      <c r="G9" s="11">
        <f>'6. Consumo Risorse Idriche'!$E9+'6. Consumo Risorse Idriche'!$F9</f>
        <v>172215</v>
      </c>
      <c r="H9" s="8">
        <f>('6. Consumo Risorse Idriche'!$G9-G8)/G8</f>
        <v>-0.12162093236764256</v>
      </c>
      <c r="I9" s="18"/>
      <c r="J9" s="2">
        <v>2015</v>
      </c>
      <c r="K9" s="21">
        <v>0.24</v>
      </c>
      <c r="L9" s="20">
        <f>'6. Consumo Risorse Idriche'!$K9*'6. Consumo Risorse Idriche'!$E9</f>
        <v>41126.639999999999</v>
      </c>
      <c r="M9" s="21">
        <v>0.71</v>
      </c>
      <c r="N9" s="11">
        <f>'6. Consumo Risorse Idriche'!$M9*'6. Consumo Risorse Idriche'!$E9</f>
        <v>121666.31</v>
      </c>
      <c r="O9" s="21">
        <v>0</v>
      </c>
      <c r="P9" s="11">
        <f>'6. Consumo Risorse Idriche'!$O9*'6. Consumo Risorse Idriche'!$E9</f>
        <v>0</v>
      </c>
      <c r="Q9" s="21">
        <v>0.05</v>
      </c>
      <c r="R9" s="11">
        <f>'6. Consumo Risorse Idriche'!$Q9*'6. Consumo Risorse Idriche'!$E9</f>
        <v>8568.0500000000011</v>
      </c>
    </row>
    <row r="10" spans="1:18" x14ac:dyDescent="0.25">
      <c r="A10" s="2">
        <v>2016</v>
      </c>
      <c r="B10" s="20">
        <v>52397</v>
      </c>
      <c r="C10" s="20">
        <v>18755</v>
      </c>
      <c r="D10" s="20">
        <v>96458</v>
      </c>
      <c r="E10" s="11">
        <f>'6. Consumo Risorse Idriche'!$B10+'6. Consumo Risorse Idriche'!$C10+'6. Consumo Risorse Idriche'!$D10</f>
        <v>167610</v>
      </c>
      <c r="F10" s="20">
        <v>3678</v>
      </c>
      <c r="G10" s="11">
        <f>'6. Consumo Risorse Idriche'!$E10+'6. Consumo Risorse Idriche'!$F10</f>
        <v>171288</v>
      </c>
      <c r="H10" s="8">
        <f>('6. Consumo Risorse Idriche'!$G10-G9)/G9</f>
        <v>-5.3828063757512413E-3</v>
      </c>
      <c r="I10" s="18"/>
      <c r="J10" s="2">
        <v>2016</v>
      </c>
      <c r="K10" s="21">
        <v>0.24</v>
      </c>
      <c r="L10" s="20">
        <f>'6. Consumo Risorse Idriche'!$K10*'6. Consumo Risorse Idriche'!$E10</f>
        <v>40226.400000000001</v>
      </c>
      <c r="M10" s="21">
        <v>0.71</v>
      </c>
      <c r="N10" s="11">
        <f>'6. Consumo Risorse Idriche'!$M10*'6. Consumo Risorse Idriche'!$E10</f>
        <v>119003.09999999999</v>
      </c>
      <c r="O10" s="21">
        <v>0</v>
      </c>
      <c r="P10" s="11">
        <f>'6. Consumo Risorse Idriche'!$O10*'6. Consumo Risorse Idriche'!$E10</f>
        <v>0</v>
      </c>
      <c r="Q10" s="21">
        <v>0.05</v>
      </c>
      <c r="R10" s="11">
        <f>'6. Consumo Risorse Idriche'!$Q10*'6. Consumo Risorse Idriche'!$E10</f>
        <v>8380.5</v>
      </c>
    </row>
    <row r="11" spans="1:18" x14ac:dyDescent="0.25">
      <c r="A11" s="2">
        <v>2017</v>
      </c>
      <c r="B11" s="20">
        <v>32846</v>
      </c>
      <c r="C11" s="20">
        <v>18843</v>
      </c>
      <c r="D11" s="20">
        <v>110934</v>
      </c>
      <c r="E11" s="11">
        <f>'6. Consumo Risorse Idriche'!$B11+'6. Consumo Risorse Idriche'!$C11+'6. Consumo Risorse Idriche'!$D11</f>
        <v>162623</v>
      </c>
      <c r="F11" s="20">
        <v>6013</v>
      </c>
      <c r="G11" s="11">
        <f>'6. Consumo Risorse Idriche'!$E11+'6. Consumo Risorse Idriche'!$F11</f>
        <v>168636</v>
      </c>
      <c r="H11" s="8">
        <f>('6. Consumo Risorse Idriche'!$G11-G10)/G10</f>
        <v>-1.5482695810564663E-2</v>
      </c>
      <c r="I11" s="18"/>
      <c r="J11" s="2">
        <v>2017</v>
      </c>
      <c r="K11" s="21">
        <v>0.24</v>
      </c>
      <c r="L11" s="20">
        <f>'6. Consumo Risorse Idriche'!$K11*'6. Consumo Risorse Idriche'!$E11</f>
        <v>39029.519999999997</v>
      </c>
      <c r="M11" s="21">
        <v>0.71</v>
      </c>
      <c r="N11" s="11">
        <f>'6. Consumo Risorse Idriche'!$M11*'6. Consumo Risorse Idriche'!$E11</f>
        <v>115462.32999999999</v>
      </c>
      <c r="O11" s="21">
        <v>0</v>
      </c>
      <c r="P11" s="11">
        <f>'6. Consumo Risorse Idriche'!$O11*'6. Consumo Risorse Idriche'!$E11</f>
        <v>0</v>
      </c>
      <c r="Q11" s="21">
        <v>0.05</v>
      </c>
      <c r="R11" s="11">
        <f>'6. Consumo Risorse Idriche'!$Q11*'6. Consumo Risorse Idriche'!$E11</f>
        <v>8131.1500000000005</v>
      </c>
    </row>
    <row r="12" spans="1:18" x14ac:dyDescent="0.25">
      <c r="A12" s="2">
        <v>2018</v>
      </c>
      <c r="B12" s="20">
        <v>39765</v>
      </c>
      <c r="C12" s="20">
        <v>8011</v>
      </c>
      <c r="D12" s="20">
        <v>100660</v>
      </c>
      <c r="E12" s="11">
        <f>'6. Consumo Risorse Idriche'!$B12+'6. Consumo Risorse Idriche'!$C12+'6. Consumo Risorse Idriche'!$D12</f>
        <v>148436</v>
      </c>
      <c r="F12" s="20">
        <v>580</v>
      </c>
      <c r="G12" s="11">
        <f>'6. Consumo Risorse Idriche'!$E12+'6. Consumo Risorse Idriche'!$F12</f>
        <v>149016</v>
      </c>
      <c r="H12" s="8">
        <f>('6. Consumo Risorse Idriche'!$G12-G11)/G11</f>
        <v>-0.11634526435636519</v>
      </c>
      <c r="I12" s="18"/>
      <c r="J12" s="2">
        <v>2018</v>
      </c>
      <c r="K12" s="21">
        <v>0.24</v>
      </c>
      <c r="L12" s="20">
        <f>'6. Consumo Risorse Idriche'!$K12*'6. Consumo Risorse Idriche'!$E12</f>
        <v>35624.639999999999</v>
      </c>
      <c r="M12" s="21">
        <v>0.71</v>
      </c>
      <c r="N12" s="11">
        <f>'6. Consumo Risorse Idriche'!$M12*'6. Consumo Risorse Idriche'!$E12</f>
        <v>105389.56</v>
      </c>
      <c r="O12" s="21">
        <v>0</v>
      </c>
      <c r="P12" s="11">
        <f>'6. Consumo Risorse Idriche'!$O12*'6. Consumo Risorse Idriche'!$E12</f>
        <v>0</v>
      </c>
      <c r="Q12" s="21">
        <v>0.05</v>
      </c>
      <c r="R12" s="11">
        <f>'6. Consumo Risorse Idriche'!$Q12*'6. Consumo Risorse Idriche'!$E12</f>
        <v>7421.8</v>
      </c>
    </row>
    <row r="13" spans="1:18" x14ac:dyDescent="0.25">
      <c r="A13" s="2">
        <v>2019</v>
      </c>
      <c r="B13" s="20">
        <v>72554</v>
      </c>
      <c r="C13" s="20">
        <v>9561</v>
      </c>
      <c r="D13" s="20">
        <v>111065</v>
      </c>
      <c r="E13" s="11">
        <f>'6. Consumo Risorse Idriche'!$B13+'6. Consumo Risorse Idriche'!$C13+'6. Consumo Risorse Idriche'!$D13</f>
        <v>193180</v>
      </c>
      <c r="F13" s="20">
        <v>2603</v>
      </c>
      <c r="G13" s="11">
        <f>'6. Consumo Risorse Idriche'!$E13+'6. Consumo Risorse Idriche'!$F13</f>
        <v>195783</v>
      </c>
      <c r="H13" s="8">
        <f>('6. Consumo Risorse Idriche'!$G13-G12)/G12</f>
        <v>0.3138387824126268</v>
      </c>
      <c r="I13" s="18"/>
      <c r="J13" s="2">
        <v>2019</v>
      </c>
      <c r="K13" s="21">
        <v>0.24</v>
      </c>
      <c r="L13" s="20">
        <f>'6. Consumo Risorse Idriche'!$K13*'6. Consumo Risorse Idriche'!$E13</f>
        <v>46363.199999999997</v>
      </c>
      <c r="M13" s="21">
        <v>0.71</v>
      </c>
      <c r="N13" s="11">
        <f>'6. Consumo Risorse Idriche'!$M13*'6. Consumo Risorse Idriche'!$E13</f>
        <v>137157.79999999999</v>
      </c>
      <c r="O13" s="21">
        <v>0</v>
      </c>
      <c r="P13" s="11">
        <f>'6. Consumo Risorse Idriche'!$O13*'6. Consumo Risorse Idriche'!$E13</f>
        <v>0</v>
      </c>
      <c r="Q13" s="21">
        <v>0.05</v>
      </c>
      <c r="R13" s="11">
        <f>'6. Consumo Risorse Idriche'!$Q13*'6. Consumo Risorse Idriche'!$E13</f>
        <v>9659</v>
      </c>
    </row>
    <row r="14" spans="1:18" x14ac:dyDescent="0.25">
      <c r="A14" s="2">
        <v>2020</v>
      </c>
      <c r="B14" s="20">
        <v>72167</v>
      </c>
      <c r="C14" s="20">
        <v>6024</v>
      </c>
      <c r="D14" s="20">
        <v>72505</v>
      </c>
      <c r="E14" s="11">
        <f>'6. Consumo Risorse Idriche'!$B14+'6. Consumo Risorse Idriche'!$C14+'6. Consumo Risorse Idriche'!$D14</f>
        <v>150696</v>
      </c>
      <c r="F14" s="20">
        <v>899</v>
      </c>
      <c r="G14" s="11">
        <f>'6. Consumo Risorse Idriche'!$E14+'6. Consumo Risorse Idriche'!$F14</f>
        <v>151595</v>
      </c>
      <c r="H14" s="8">
        <f>('6. Consumo Risorse Idriche'!$G14-G13)/G13</f>
        <v>-0.22569886047307477</v>
      </c>
      <c r="I14" s="18"/>
      <c r="J14" s="2">
        <v>2020</v>
      </c>
      <c r="K14" s="21">
        <v>0.24</v>
      </c>
      <c r="L14" s="20">
        <f>'6. Consumo Risorse Idriche'!$K14*'6. Consumo Risorse Idriche'!$E14</f>
        <v>36167.040000000001</v>
      </c>
      <c r="M14" s="21">
        <v>0.71</v>
      </c>
      <c r="N14" s="11">
        <f>'6. Consumo Risorse Idriche'!$M14*'6. Consumo Risorse Idriche'!$E14</f>
        <v>106994.15999999999</v>
      </c>
      <c r="O14" s="21">
        <v>0</v>
      </c>
      <c r="P14" s="11">
        <f>'6. Consumo Risorse Idriche'!$O14*'6. Consumo Risorse Idriche'!$E14</f>
        <v>0</v>
      </c>
      <c r="Q14" s="21">
        <v>0.05</v>
      </c>
      <c r="R14" s="11">
        <f>'6. Consumo Risorse Idriche'!$Q14*'6. Consumo Risorse Idriche'!$E14</f>
        <v>7534.8</v>
      </c>
    </row>
    <row r="15" spans="1:18" x14ac:dyDescent="0.25">
      <c r="A15" s="2">
        <v>2021</v>
      </c>
      <c r="B15" s="20">
        <v>105891</v>
      </c>
      <c r="C15" s="20">
        <v>3425</v>
      </c>
      <c r="D15" s="20">
        <v>74567</v>
      </c>
      <c r="E15" s="11">
        <f>'6. Consumo Risorse Idriche'!$B15+'6. Consumo Risorse Idriche'!$C15+'6. Consumo Risorse Idriche'!$D15</f>
        <v>183883</v>
      </c>
      <c r="F15" s="20">
        <v>779</v>
      </c>
      <c r="G15" s="11">
        <f>'6. Consumo Risorse Idriche'!$E15+'6. Consumo Risorse Idriche'!$F15</f>
        <v>184662</v>
      </c>
      <c r="H15" s="8">
        <f>('6. Consumo Risorse Idriche'!$G15-G14)/G14</f>
        <v>0.21812724694086216</v>
      </c>
      <c r="I15" s="18"/>
      <c r="J15" s="2">
        <v>2021</v>
      </c>
      <c r="K15" s="21">
        <v>0.24</v>
      </c>
      <c r="L15" s="20">
        <f>'6. Consumo Risorse Idriche'!$K15*'6. Consumo Risorse Idriche'!$E15</f>
        <v>44131.92</v>
      </c>
      <c r="M15" s="21">
        <v>0.71</v>
      </c>
      <c r="N15" s="11">
        <f>'6. Consumo Risorse Idriche'!$M15*'6. Consumo Risorse Idriche'!$E15</f>
        <v>130556.93</v>
      </c>
      <c r="O15" s="21">
        <v>0</v>
      </c>
      <c r="P15" s="11">
        <f>'6. Consumo Risorse Idriche'!$O15*'6. Consumo Risorse Idriche'!$E15</f>
        <v>0</v>
      </c>
      <c r="Q15" s="21">
        <v>0.05</v>
      </c>
      <c r="R15" s="11">
        <f>'6. Consumo Risorse Idriche'!$Q15*'6. Consumo Risorse Idriche'!$E15</f>
        <v>9194.15</v>
      </c>
    </row>
    <row r="16" spans="1:18" x14ac:dyDescent="0.25">
      <c r="A16" s="2">
        <v>2022</v>
      </c>
      <c r="B16" s="20">
        <v>105860</v>
      </c>
      <c r="C16" s="20">
        <v>2200</v>
      </c>
      <c r="D16" s="20">
        <v>88492</v>
      </c>
      <c r="E16" s="11">
        <f>'6. Consumo Risorse Idriche'!$B16+'6. Consumo Risorse Idriche'!$C16+'6. Consumo Risorse Idriche'!$D16</f>
        <v>196552</v>
      </c>
      <c r="F16" s="20">
        <v>847</v>
      </c>
      <c r="G16" s="11">
        <f>'6. Consumo Risorse Idriche'!$E16+'6. Consumo Risorse Idriche'!$F16</f>
        <v>197399</v>
      </c>
      <c r="H16" s="8">
        <f>('6. Consumo Risorse Idriche'!$G16-G15)/G15</f>
        <v>6.8974667229857789E-2</v>
      </c>
      <c r="I16" s="18"/>
      <c r="J16" s="2">
        <v>2022</v>
      </c>
      <c r="K16" s="21">
        <v>0.24</v>
      </c>
      <c r="L16" s="20">
        <f>'6. Consumo Risorse Idriche'!$K16*'6. Consumo Risorse Idriche'!$E16</f>
        <v>47172.479999999996</v>
      </c>
      <c r="M16" s="21">
        <v>0.71</v>
      </c>
      <c r="N16" s="11">
        <f>'6. Consumo Risorse Idriche'!$M16*'6. Consumo Risorse Idriche'!$E16</f>
        <v>139551.91999999998</v>
      </c>
      <c r="O16" s="21">
        <v>0</v>
      </c>
      <c r="P16" s="11">
        <f>'6. Consumo Risorse Idriche'!$O16*'6. Consumo Risorse Idriche'!$E16</f>
        <v>0</v>
      </c>
      <c r="Q16" s="21">
        <v>0.05</v>
      </c>
      <c r="R16" s="11">
        <f>'6. Consumo Risorse Idriche'!$Q16*'6. Consumo Risorse Idriche'!$E16</f>
        <v>9827.6</v>
      </c>
    </row>
    <row r="17" spans="1:18" x14ac:dyDescent="0.25">
      <c r="A17" s="2">
        <v>2023</v>
      </c>
      <c r="B17" s="11">
        <f>'Risorse Idriche mese'!$C17</f>
        <v>103544</v>
      </c>
      <c r="C17" s="11">
        <f>'Risorse Idriche mese'!C34</f>
        <v>6869</v>
      </c>
      <c r="D17" s="11">
        <f>'Risorse Idriche mese'!C51</f>
        <v>113478</v>
      </c>
      <c r="E17" s="11">
        <f>'6. Consumo Risorse Idriche'!$B17+'6. Consumo Risorse Idriche'!$C17+'6. Consumo Risorse Idriche'!$D17</f>
        <v>223891</v>
      </c>
      <c r="F17" s="11">
        <f>'Risorse Idriche mese'!C68</f>
        <v>773</v>
      </c>
      <c r="G17" s="11">
        <f>'6. Consumo Risorse Idriche'!$E17+'6. Consumo Risorse Idriche'!$F17</f>
        <v>224664</v>
      </c>
      <c r="H17" s="8">
        <f>('6. Consumo Risorse Idriche'!$G17-G16)/G16</f>
        <v>0.13812126707835398</v>
      </c>
      <c r="I17" s="18"/>
      <c r="J17" s="2">
        <v>2023</v>
      </c>
      <c r="K17" s="21">
        <v>0.24</v>
      </c>
      <c r="L17" s="20">
        <f>'6. Consumo Risorse Idriche'!$K17*'6. Consumo Risorse Idriche'!$E17</f>
        <v>53733.84</v>
      </c>
      <c r="M17" s="21">
        <v>0.71</v>
      </c>
      <c r="N17" s="11">
        <f>'6. Consumo Risorse Idriche'!$M17*'6. Consumo Risorse Idriche'!$E17</f>
        <v>158962.60999999999</v>
      </c>
      <c r="O17" s="21">
        <v>0</v>
      </c>
      <c r="P17" s="11">
        <f>'6. Consumo Risorse Idriche'!$O17*'6. Consumo Risorse Idriche'!$E17</f>
        <v>0</v>
      </c>
      <c r="Q17" s="21">
        <v>0.05</v>
      </c>
      <c r="R17" s="11">
        <f>'6. Consumo Risorse Idriche'!$Q17*'6. Consumo Risorse Idriche'!$E17</f>
        <v>11194.550000000001</v>
      </c>
    </row>
    <row r="18" spans="1:18" ht="15" customHeight="1" x14ac:dyDescent="0.25">
      <c r="A18" s="2">
        <v>2024</v>
      </c>
      <c r="B18" s="11">
        <f>'Risorse Idriche mese'!D17</f>
        <v>0</v>
      </c>
      <c r="C18" s="11">
        <f>'Risorse Idriche mese'!D34</f>
        <v>12276</v>
      </c>
      <c r="D18" s="11">
        <f>'Risorse Idriche mese'!D51</f>
        <v>135134</v>
      </c>
      <c r="E18" s="11">
        <f>'6. Consumo Risorse Idriche'!$B18+'6. Consumo Risorse Idriche'!$C18+'6. Consumo Risorse Idriche'!$D18</f>
        <v>147410</v>
      </c>
      <c r="F18" s="11">
        <f>'Risorse Idriche mese'!D68</f>
        <v>706</v>
      </c>
      <c r="G18" s="11">
        <f>'6. Consumo Risorse Idriche'!$E18+'6. Consumo Risorse Idriche'!$F18</f>
        <v>148116</v>
      </c>
      <c r="H18" s="8">
        <f>('6. Consumo Risorse Idriche'!$G18-G17)/G17</f>
        <v>-0.34072214506997117</v>
      </c>
      <c r="I18" s="18"/>
      <c r="J18" s="2">
        <v>2024</v>
      </c>
      <c r="K18" s="21">
        <v>0.26</v>
      </c>
      <c r="L18" s="20">
        <f>'6. Consumo Risorse Idriche'!$K18*'6. Consumo Risorse Idriche'!$E18</f>
        <v>38326.6</v>
      </c>
      <c r="M18" s="21">
        <v>0.69</v>
      </c>
      <c r="N18" s="11">
        <f>'6. Consumo Risorse Idriche'!$M18*'6. Consumo Risorse Idriche'!$E18</f>
        <v>101712.9</v>
      </c>
      <c r="O18" s="21">
        <v>0</v>
      </c>
      <c r="P18" s="11">
        <f>'6. Consumo Risorse Idriche'!$O18*'6. Consumo Risorse Idriche'!$E18</f>
        <v>0</v>
      </c>
      <c r="Q18" s="21">
        <v>0.05</v>
      </c>
      <c r="R18" s="11">
        <f>'6. Consumo Risorse Idriche'!$Q18*'6. Consumo Risorse Idriche'!$E18</f>
        <v>7370.5</v>
      </c>
    </row>
    <row r="19" spans="1:18" x14ac:dyDescent="0.25">
      <c r="A19" s="2">
        <v>2025</v>
      </c>
      <c r="B19" s="11"/>
      <c r="C19" s="11"/>
      <c r="D19" s="11"/>
      <c r="E19" s="11"/>
      <c r="F19" s="11"/>
      <c r="G19" s="11"/>
      <c r="H19" s="8"/>
      <c r="I19" s="2"/>
      <c r="J19" s="2">
        <v>2025</v>
      </c>
      <c r="K19" s="21"/>
      <c r="L19" s="20">
        <f>'6. Consumo Risorse Idriche'!$K19*'6. Consumo Risorse Idriche'!$E19</f>
        <v>0</v>
      </c>
      <c r="M19" s="21"/>
      <c r="N19" s="11">
        <f>'6. Consumo Risorse Idriche'!$M19*'6. Consumo Risorse Idriche'!$E19</f>
        <v>0</v>
      </c>
      <c r="O19" s="21"/>
      <c r="P19" s="11">
        <f>'6. Consumo Risorse Idriche'!$O19*'6. Consumo Risorse Idriche'!$E19</f>
        <v>0</v>
      </c>
      <c r="Q19" s="21"/>
      <c r="R19" s="11">
        <f>'6. Consumo Risorse Idriche'!$Q19*'6. Consumo Risorse Idriche'!$E19</f>
        <v>0</v>
      </c>
    </row>
    <row r="20" spans="1:18" x14ac:dyDescent="0.25">
      <c r="A20" s="2">
        <v>2026</v>
      </c>
      <c r="B20" s="23"/>
      <c r="C20" s="23"/>
      <c r="D20" s="23"/>
      <c r="E20" s="11"/>
      <c r="F20" s="11"/>
      <c r="G20" s="11"/>
      <c r="H20" s="10"/>
      <c r="I20" s="2"/>
      <c r="J20" s="2">
        <v>2026</v>
      </c>
      <c r="K20" s="24"/>
      <c r="L20" s="23">
        <f>'6. Consumo Risorse Idriche'!$K20*'6. Consumo Risorse Idriche'!$E20</f>
        <v>0</v>
      </c>
      <c r="M20" s="24"/>
      <c r="N20" s="11">
        <f>'6. Consumo Risorse Idriche'!$M20*'6. Consumo Risorse Idriche'!$E20</f>
        <v>0</v>
      </c>
      <c r="O20" s="24"/>
      <c r="P20" s="11">
        <f>'6. Consumo Risorse Idriche'!$O20*'6. Consumo Risorse Idriche'!$E20</f>
        <v>0</v>
      </c>
      <c r="Q20" s="24"/>
      <c r="R20" s="11">
        <f>'6. Consumo Risorse Idriche'!$Q20*'6. Consumo Risorse Idriche'!$E20</f>
        <v>0</v>
      </c>
    </row>
    <row r="21" spans="1:18" ht="15.75" customHeight="1" x14ac:dyDescent="0.25">
      <c r="A21" s="2">
        <v>2027</v>
      </c>
      <c r="B21" s="23"/>
      <c r="C21" s="23"/>
      <c r="D21" s="23"/>
      <c r="E21" s="11"/>
      <c r="F21" s="11"/>
      <c r="G21" s="11"/>
      <c r="H21" s="10"/>
      <c r="I21" s="2"/>
      <c r="J21" s="2">
        <v>2027</v>
      </c>
      <c r="K21" s="24"/>
      <c r="L21" s="23">
        <f>'6. Consumo Risorse Idriche'!$K21*'6. Consumo Risorse Idriche'!$E21</f>
        <v>0</v>
      </c>
      <c r="M21" s="24"/>
      <c r="N21" s="11">
        <f>'6. Consumo Risorse Idriche'!$M21*'6. Consumo Risorse Idriche'!$E21</f>
        <v>0</v>
      </c>
      <c r="O21" s="24"/>
      <c r="P21" s="11">
        <f>'6. Consumo Risorse Idriche'!$O21*'6. Consumo Risorse Idriche'!$E21</f>
        <v>0</v>
      </c>
      <c r="Q21" s="24"/>
      <c r="R21" s="11">
        <f>'6. Consumo Risorse Idriche'!$Q21*'6. Consumo Risorse Idriche'!$E21</f>
        <v>0</v>
      </c>
    </row>
    <row r="22" spans="1:18" ht="15.75" customHeight="1" x14ac:dyDescent="0.25">
      <c r="A22" s="2">
        <v>2028</v>
      </c>
      <c r="B22" s="23"/>
      <c r="C22" s="23"/>
      <c r="D22" s="23"/>
      <c r="E22" s="11"/>
      <c r="F22" s="11"/>
      <c r="G22" s="11"/>
      <c r="H22" s="10"/>
      <c r="I22" s="2"/>
      <c r="J22" s="2">
        <v>2028</v>
      </c>
      <c r="K22" s="24"/>
      <c r="L22" s="23">
        <f>'6. Consumo Risorse Idriche'!$K22*'6. Consumo Risorse Idriche'!$E22</f>
        <v>0</v>
      </c>
      <c r="M22" s="24"/>
      <c r="N22" s="11">
        <f>'6. Consumo Risorse Idriche'!$M22*'6. Consumo Risorse Idriche'!$E22</f>
        <v>0</v>
      </c>
      <c r="O22" s="24"/>
      <c r="P22" s="11">
        <f>'6. Consumo Risorse Idriche'!$O22*'6. Consumo Risorse Idriche'!$E22</f>
        <v>0</v>
      </c>
      <c r="Q22" s="24"/>
      <c r="R22" s="11">
        <f>'6. Consumo Risorse Idriche'!$Q22*'6. Consumo Risorse Idriche'!$E22</f>
        <v>0</v>
      </c>
    </row>
    <row r="23" spans="1:18" ht="15.75" customHeight="1" x14ac:dyDescent="0.25">
      <c r="A23" s="2">
        <v>2029</v>
      </c>
      <c r="B23" s="23"/>
      <c r="C23" s="23"/>
      <c r="D23" s="23"/>
      <c r="E23" s="11"/>
      <c r="F23" s="11"/>
      <c r="G23" s="11"/>
      <c r="H23" s="10"/>
      <c r="I23" s="2"/>
      <c r="J23" s="2">
        <v>2029</v>
      </c>
      <c r="K23" s="24"/>
      <c r="L23" s="23">
        <f>'6. Consumo Risorse Idriche'!$K23*'6. Consumo Risorse Idriche'!$E23</f>
        <v>0</v>
      </c>
      <c r="M23" s="24"/>
      <c r="N23" s="11">
        <f>'6. Consumo Risorse Idriche'!$M23*'6. Consumo Risorse Idriche'!$E23</f>
        <v>0</v>
      </c>
      <c r="O23" s="24"/>
      <c r="P23" s="11">
        <f>'6. Consumo Risorse Idriche'!$O23*'6. Consumo Risorse Idriche'!$E23</f>
        <v>0</v>
      </c>
      <c r="Q23" s="24"/>
      <c r="R23" s="11">
        <f>'6. Consumo Risorse Idriche'!$Q23*'6. Consumo Risorse Idriche'!$E23</f>
        <v>0</v>
      </c>
    </row>
    <row r="24" spans="1:18" ht="15.75" customHeight="1" x14ac:dyDescent="0.25">
      <c r="A24" s="2">
        <v>2030</v>
      </c>
      <c r="B24" s="23"/>
      <c r="C24" s="23"/>
      <c r="D24" s="23"/>
      <c r="E24" s="11"/>
      <c r="F24" s="11"/>
      <c r="G24" s="11"/>
      <c r="H24" s="10"/>
      <c r="I24" s="2"/>
      <c r="J24" s="2">
        <v>2030</v>
      </c>
      <c r="K24" s="24"/>
      <c r="L24" s="23">
        <f>'6. Consumo Risorse Idriche'!$K24*'6. Consumo Risorse Idriche'!$E24</f>
        <v>0</v>
      </c>
      <c r="M24" s="24"/>
      <c r="N24" s="11">
        <f>'6. Consumo Risorse Idriche'!$M24*'6. Consumo Risorse Idriche'!$E24</f>
        <v>0</v>
      </c>
      <c r="O24" s="24"/>
      <c r="P24" s="11">
        <f>'6. Consumo Risorse Idriche'!$O24*'6. Consumo Risorse Idriche'!$E24</f>
        <v>0</v>
      </c>
      <c r="Q24" s="24"/>
      <c r="R24" s="11">
        <f>'6. Consumo Risorse Idriche'!$Q24*'6. Consumo Risorse Idriche'!$E24</f>
        <v>0</v>
      </c>
    </row>
  </sheetData>
  <conditionalFormatting sqref="H5:H24">
    <cfRule type="cellIs" dxfId="37" priority="1" operator="greaterThan">
      <formula>0</formula>
    </cfRule>
    <cfRule type="cellIs" dxfId="36" priority="2" operator="lessThan">
      <formula>0</formula>
    </cfRule>
  </conditionalFormatting>
  <pageMargins left="0.70866141732283472" right="0.70866141732283472" top="0.74803149606299213" bottom="0.74803149606299213" header="0" footer="0"/>
  <pageSetup paperSize="9" orientation="landscape"/>
  <headerFooter>
    <oddFooter>&amp;L&amp;A&amp;R&amp;F</oddFooter>
  </headerFooter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CC2E5"/>
  </sheetPr>
  <dimension ref="A1:F85"/>
  <sheetViews>
    <sheetView showGridLines="0" workbookViewId="0">
      <selection activeCell="D30" sqref="D30"/>
    </sheetView>
  </sheetViews>
  <sheetFormatPr defaultColWidth="14.42578125" defaultRowHeight="15" customHeight="1" x14ac:dyDescent="0.25"/>
  <cols>
    <col min="1" max="6" width="12.7109375" customWidth="1"/>
    <col min="7" max="26" width="8.7109375" customWidth="1"/>
  </cols>
  <sheetData>
    <row r="1" spans="1:5" x14ac:dyDescent="0.25">
      <c r="A1" s="1" t="s">
        <v>55</v>
      </c>
      <c r="B1" s="2"/>
      <c r="C1" s="2"/>
      <c r="D1" s="2"/>
    </row>
    <row r="2" spans="1:5" x14ac:dyDescent="0.25">
      <c r="A2" s="1"/>
      <c r="B2" s="2"/>
      <c r="C2" s="2"/>
      <c r="D2" s="2"/>
    </row>
    <row r="3" spans="1:5" x14ac:dyDescent="0.25">
      <c r="A3" s="1" t="s">
        <v>56</v>
      </c>
      <c r="B3" s="2"/>
      <c r="C3" s="2"/>
      <c r="D3" s="2"/>
    </row>
    <row r="4" spans="1:5" x14ac:dyDescent="0.25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</row>
    <row r="5" spans="1:5" ht="17.25" x14ac:dyDescent="0.25">
      <c r="A5" s="2" t="s">
        <v>28</v>
      </c>
      <c r="B5" s="2" t="s">
        <v>57</v>
      </c>
      <c r="C5" s="11">
        <f>'R. Idriche (letture) '!J5</f>
        <v>21883</v>
      </c>
      <c r="D5" s="11">
        <f>'R. Idriche (letture) '!J17</f>
        <v>0</v>
      </c>
      <c r="E5" s="11"/>
    </row>
    <row r="6" spans="1:5" ht="17.25" x14ac:dyDescent="0.25">
      <c r="A6" s="2" t="s">
        <v>30</v>
      </c>
      <c r="B6" s="2" t="s">
        <v>58</v>
      </c>
      <c r="C6" s="11">
        <f>'R. Idriche (letture) '!J6</f>
        <v>23343</v>
      </c>
      <c r="D6" s="11">
        <f>'R. Idriche (letture) '!J18</f>
        <v>0</v>
      </c>
      <c r="E6" s="11"/>
    </row>
    <row r="7" spans="1:5" ht="17.25" x14ac:dyDescent="0.25">
      <c r="A7" s="2" t="s">
        <v>31</v>
      </c>
      <c r="B7" s="2" t="s">
        <v>59</v>
      </c>
      <c r="C7" s="11">
        <f>'R. Idriche (letture) '!J7</f>
        <v>21509</v>
      </c>
      <c r="D7" s="11">
        <f>'R. Idriche (letture) '!J19</f>
        <v>0</v>
      </c>
      <c r="E7" s="11"/>
    </row>
    <row r="8" spans="1:5" ht="17.25" x14ac:dyDescent="0.25">
      <c r="A8" s="2" t="s">
        <v>32</v>
      </c>
      <c r="B8" s="2" t="s">
        <v>60</v>
      </c>
      <c r="C8" s="11">
        <f>'R. Idriche (letture) '!J8</f>
        <v>17681</v>
      </c>
      <c r="D8" s="11">
        <f>'R. Idriche (letture) '!J20</f>
        <v>0</v>
      </c>
      <c r="E8" s="11"/>
    </row>
    <row r="9" spans="1:5" ht="17.25" x14ac:dyDescent="0.25">
      <c r="A9" s="2" t="s">
        <v>33</v>
      </c>
      <c r="B9" s="2" t="s">
        <v>61</v>
      </c>
      <c r="C9" s="11">
        <f>'R. Idriche (letture) '!J9</f>
        <v>13090</v>
      </c>
      <c r="D9" s="11">
        <f>'R. Idriche (letture) '!J21</f>
        <v>0</v>
      </c>
      <c r="E9" s="11"/>
    </row>
    <row r="10" spans="1:5" ht="17.25" x14ac:dyDescent="0.25">
      <c r="A10" s="2" t="s">
        <v>34</v>
      </c>
      <c r="B10" s="2" t="s">
        <v>62</v>
      </c>
      <c r="C10" s="11">
        <f>'R. Idriche (letture) '!J10</f>
        <v>6038</v>
      </c>
      <c r="D10" s="11">
        <f>'R. Idriche (letture) '!J22</f>
        <v>0</v>
      </c>
      <c r="E10" s="11"/>
    </row>
    <row r="11" spans="1:5" ht="17.25" x14ac:dyDescent="0.25">
      <c r="A11" s="2" t="s">
        <v>35</v>
      </c>
      <c r="B11" s="2" t="s">
        <v>63</v>
      </c>
      <c r="C11" s="11">
        <f>'R. Idriche (letture) '!J11</f>
        <v>0</v>
      </c>
      <c r="D11" s="11">
        <f>'R. Idriche (letture) '!J23</f>
        <v>0</v>
      </c>
      <c r="E11" s="11"/>
    </row>
    <row r="12" spans="1:5" ht="17.25" x14ac:dyDescent="0.25">
      <c r="A12" s="2" t="s">
        <v>36</v>
      </c>
      <c r="B12" s="2" t="s">
        <v>64</v>
      </c>
      <c r="C12" s="11">
        <f>'R. Idriche (letture) '!J12</f>
        <v>0</v>
      </c>
      <c r="D12" s="11">
        <f>'R. Idriche (letture) '!J24</f>
        <v>0</v>
      </c>
      <c r="E12" s="11"/>
    </row>
    <row r="13" spans="1:5" ht="17.25" x14ac:dyDescent="0.25">
      <c r="A13" s="2" t="s">
        <v>37</v>
      </c>
      <c r="B13" s="2" t="s">
        <v>65</v>
      </c>
      <c r="C13" s="11">
        <f>'R. Idriche (letture) '!J13</f>
        <v>0</v>
      </c>
      <c r="D13" s="11">
        <f>'R. Idriche (letture) '!J25</f>
        <v>0</v>
      </c>
      <c r="E13" s="11"/>
    </row>
    <row r="14" spans="1:5" ht="17.25" x14ac:dyDescent="0.25">
      <c r="A14" s="2" t="s">
        <v>38</v>
      </c>
      <c r="B14" s="2" t="s">
        <v>66</v>
      </c>
      <c r="C14" s="11">
        <f>'R. Idriche (letture) '!J14</f>
        <v>0</v>
      </c>
      <c r="D14" s="11">
        <f>'R. Idriche (letture) '!J26</f>
        <v>0</v>
      </c>
      <c r="E14" s="11"/>
    </row>
    <row r="15" spans="1:5" ht="17.25" x14ac:dyDescent="0.25">
      <c r="A15" s="2" t="s">
        <v>39</v>
      </c>
      <c r="B15" s="2" t="s">
        <v>67</v>
      </c>
      <c r="C15" s="11">
        <f>'R. Idriche (letture) '!J15</f>
        <v>0</v>
      </c>
      <c r="D15" s="11">
        <f>'R. Idriche (letture) '!J27</f>
        <v>0</v>
      </c>
      <c r="E15" s="11"/>
    </row>
    <row r="16" spans="1:5" ht="17.25" x14ac:dyDescent="0.25">
      <c r="A16" s="2" t="s">
        <v>40</v>
      </c>
      <c r="B16" s="2" t="s">
        <v>68</v>
      </c>
      <c r="C16" s="11">
        <f>'R. Idriche (letture) '!J16</f>
        <v>0</v>
      </c>
      <c r="D16" s="11">
        <f>'R. Idriche (letture) '!J28</f>
        <v>0</v>
      </c>
      <c r="E16" s="11"/>
    </row>
    <row r="17" spans="1:5" ht="17.25" x14ac:dyDescent="0.25">
      <c r="A17" s="12" t="s">
        <v>41</v>
      </c>
      <c r="B17" s="2" t="s">
        <v>69</v>
      </c>
      <c r="C17" s="13">
        <f t="shared" ref="C17:E17" si="0">SUBTOTAL(109,C5:C16)</f>
        <v>103544</v>
      </c>
      <c r="D17" s="13">
        <f t="shared" si="0"/>
        <v>0</v>
      </c>
      <c r="E17" s="13">
        <f t="shared" si="0"/>
        <v>0</v>
      </c>
    </row>
    <row r="18" spans="1:5" x14ac:dyDescent="0.25">
      <c r="A18" s="14"/>
      <c r="B18" s="15"/>
      <c r="C18" s="16"/>
      <c r="D18" s="16"/>
    </row>
    <row r="20" spans="1:5" x14ac:dyDescent="0.25">
      <c r="A20" s="1" t="s">
        <v>70</v>
      </c>
      <c r="B20" s="2"/>
      <c r="C20" s="2"/>
      <c r="D20" s="2"/>
    </row>
    <row r="21" spans="1:5" ht="15.75" customHeight="1" x14ac:dyDescent="0.25">
      <c r="A21" s="2" t="s">
        <v>23</v>
      </c>
      <c r="B21" s="2" t="s">
        <v>24</v>
      </c>
      <c r="C21" s="2" t="s">
        <v>25</v>
      </c>
      <c r="D21" s="2" t="s">
        <v>26</v>
      </c>
      <c r="E21" s="2" t="s">
        <v>27</v>
      </c>
    </row>
    <row r="22" spans="1:5" ht="15.75" customHeight="1" x14ac:dyDescent="0.25">
      <c r="A22" s="2" t="s">
        <v>28</v>
      </c>
      <c r="B22" s="2" t="s">
        <v>71</v>
      </c>
      <c r="C22" s="11">
        <f>'R. Idriche (letture) '!L5</f>
        <v>229</v>
      </c>
      <c r="D22" s="11">
        <f>'R. Idriche (letture) '!L17</f>
        <v>866</v>
      </c>
      <c r="E22" s="11"/>
    </row>
    <row r="23" spans="1:5" ht="15.75" customHeight="1" x14ac:dyDescent="0.25">
      <c r="A23" s="2" t="s">
        <v>30</v>
      </c>
      <c r="B23" s="2" t="s">
        <v>72</v>
      </c>
      <c r="C23" s="11">
        <f>'R. Idriche (letture) '!L6</f>
        <v>250</v>
      </c>
      <c r="D23" s="11">
        <f>'R. Idriche (letture) '!L18</f>
        <v>1296</v>
      </c>
      <c r="E23" s="11"/>
    </row>
    <row r="24" spans="1:5" ht="15.75" customHeight="1" x14ac:dyDescent="0.25">
      <c r="A24" s="2" t="s">
        <v>31</v>
      </c>
      <c r="B24" s="2" t="s">
        <v>73</v>
      </c>
      <c r="C24" s="11">
        <f>'R. Idriche (letture) '!L7</f>
        <v>206</v>
      </c>
      <c r="D24" s="11">
        <f>'R. Idriche (letture) '!L19</f>
        <v>1321</v>
      </c>
      <c r="E24" s="25"/>
    </row>
    <row r="25" spans="1:5" ht="15.75" customHeight="1" x14ac:dyDescent="0.25">
      <c r="A25" s="2" t="s">
        <v>32</v>
      </c>
      <c r="B25" s="2" t="s">
        <v>74</v>
      </c>
      <c r="C25" s="11">
        <f>'R. Idriche (letture) '!L8</f>
        <v>95</v>
      </c>
      <c r="D25" s="11">
        <f>'R. Idriche (letture) '!L20</f>
        <v>998</v>
      </c>
      <c r="E25" s="25"/>
    </row>
    <row r="26" spans="1:5" ht="15.75" customHeight="1" x14ac:dyDescent="0.25">
      <c r="A26" s="2" t="s">
        <v>33</v>
      </c>
      <c r="B26" s="2" t="s">
        <v>75</v>
      </c>
      <c r="C26" s="11">
        <f>'R. Idriche (letture) '!L9</f>
        <v>111</v>
      </c>
      <c r="D26" s="11">
        <f>'R. Idriche (letture) '!L21</f>
        <v>1424</v>
      </c>
      <c r="E26" s="25"/>
    </row>
    <row r="27" spans="1:5" ht="15.75" customHeight="1" x14ac:dyDescent="0.25">
      <c r="A27" s="2" t="s">
        <v>34</v>
      </c>
      <c r="B27" s="2" t="s">
        <v>76</v>
      </c>
      <c r="C27" s="11">
        <f>'R. Idriche (letture) '!L10</f>
        <v>615</v>
      </c>
      <c r="D27" s="11">
        <f>'R. Idriche (letture) '!L22</f>
        <v>1125</v>
      </c>
      <c r="E27" s="25"/>
    </row>
    <row r="28" spans="1:5" ht="15.75" customHeight="1" x14ac:dyDescent="0.25">
      <c r="A28" s="2" t="s">
        <v>35</v>
      </c>
      <c r="B28" s="2" t="s">
        <v>77</v>
      </c>
      <c r="C28" s="11">
        <f>'R. Idriche (letture) '!L11</f>
        <v>1321</v>
      </c>
      <c r="D28" s="11">
        <f>'R. Idriche (letture) '!L23</f>
        <v>1240</v>
      </c>
      <c r="E28" s="25"/>
    </row>
    <row r="29" spans="1:5" ht="15.75" customHeight="1" x14ac:dyDescent="0.25">
      <c r="A29" s="2" t="s">
        <v>36</v>
      </c>
      <c r="B29" s="2" t="s">
        <v>78</v>
      </c>
      <c r="C29" s="11">
        <f>'R. Idriche (letture) '!L12</f>
        <v>105</v>
      </c>
      <c r="D29" s="11">
        <f>'R. Idriche (letture) '!L24</f>
        <v>0</v>
      </c>
      <c r="E29" s="25"/>
    </row>
    <row r="30" spans="1:5" ht="15.75" customHeight="1" x14ac:dyDescent="0.25">
      <c r="A30" s="2" t="s">
        <v>37</v>
      </c>
      <c r="B30" s="2" t="s">
        <v>79</v>
      </c>
      <c r="C30" s="11">
        <f>'R. Idriche (letture) '!L13</f>
        <v>1647</v>
      </c>
      <c r="D30" s="11">
        <f>'R. Idriche (letture) '!L25</f>
        <v>517</v>
      </c>
      <c r="E30" s="25"/>
    </row>
    <row r="31" spans="1:5" ht="15.75" customHeight="1" x14ac:dyDescent="0.25">
      <c r="A31" s="2" t="s">
        <v>38</v>
      </c>
      <c r="B31" s="2" t="s">
        <v>80</v>
      </c>
      <c r="C31" s="11">
        <f>'R. Idriche (letture) '!L14</f>
        <v>1032</v>
      </c>
      <c r="D31" s="11">
        <f>'R. Idriche (letture) '!L26</f>
        <v>1821</v>
      </c>
      <c r="E31" s="25"/>
    </row>
    <row r="32" spans="1:5" ht="15.75" customHeight="1" x14ac:dyDescent="0.25">
      <c r="A32" s="2" t="s">
        <v>39</v>
      </c>
      <c r="B32" s="2" t="s">
        <v>81</v>
      </c>
      <c r="C32" s="11">
        <f>'R. Idriche (letture) '!L15</f>
        <v>655</v>
      </c>
      <c r="D32" s="11">
        <f>'R. Idriche (letture) '!L27</f>
        <v>1002</v>
      </c>
      <c r="E32" s="25"/>
    </row>
    <row r="33" spans="1:5" ht="15.75" customHeight="1" x14ac:dyDescent="0.25">
      <c r="A33" s="2" t="s">
        <v>40</v>
      </c>
      <c r="B33" s="2" t="s">
        <v>82</v>
      </c>
      <c r="C33" s="11">
        <f>'R. Idriche (letture) '!L16</f>
        <v>603</v>
      </c>
      <c r="D33" s="11">
        <f>'R. Idriche (letture) '!L28</f>
        <v>666</v>
      </c>
      <c r="E33" s="25"/>
    </row>
    <row r="34" spans="1:5" ht="15.75" customHeight="1" x14ac:dyDescent="0.25">
      <c r="A34" s="12" t="s">
        <v>41</v>
      </c>
      <c r="B34" s="2" t="s">
        <v>83</v>
      </c>
      <c r="C34" s="13">
        <f t="shared" ref="C34:E34" si="1">SUBTOTAL(109,C22:C33)</f>
        <v>6869</v>
      </c>
      <c r="D34" s="13">
        <f t="shared" si="1"/>
        <v>12276</v>
      </c>
      <c r="E34" s="13">
        <f t="shared" si="1"/>
        <v>0</v>
      </c>
    </row>
    <row r="35" spans="1:5" ht="15.75" customHeight="1" x14ac:dyDescent="0.25"/>
    <row r="36" spans="1:5" ht="15.75" customHeight="1" x14ac:dyDescent="0.25"/>
    <row r="37" spans="1:5" ht="15.75" customHeight="1" x14ac:dyDescent="0.25">
      <c r="A37" s="1" t="s">
        <v>84</v>
      </c>
      <c r="B37" s="2"/>
      <c r="C37" s="2"/>
      <c r="D37" s="2"/>
    </row>
    <row r="38" spans="1:5" ht="15.75" customHeight="1" x14ac:dyDescent="0.25">
      <c r="A38" s="108" t="s">
        <v>23</v>
      </c>
      <c r="B38" s="2" t="s">
        <v>24</v>
      </c>
      <c r="C38" s="2" t="s">
        <v>25</v>
      </c>
      <c r="D38" s="2" t="s">
        <v>26</v>
      </c>
      <c r="E38" s="2" t="s">
        <v>27</v>
      </c>
    </row>
    <row r="39" spans="1:5" ht="15.75" customHeight="1" x14ac:dyDescent="0.25">
      <c r="A39" s="2" t="s">
        <v>28</v>
      </c>
      <c r="B39" s="2" t="s">
        <v>85</v>
      </c>
      <c r="C39" s="11">
        <f>'R. Idriche (letture) '!N5</f>
        <v>9168</v>
      </c>
      <c r="D39" s="11">
        <f>'R. Idriche (letture) '!N17</f>
        <v>11978</v>
      </c>
      <c r="E39" s="11"/>
    </row>
    <row r="40" spans="1:5" ht="15.75" customHeight="1" x14ac:dyDescent="0.25">
      <c r="A40" s="2" t="s">
        <v>30</v>
      </c>
      <c r="B40" s="2" t="s">
        <v>86</v>
      </c>
      <c r="C40" s="11">
        <f>'R. Idriche (letture) '!N6</f>
        <v>10293</v>
      </c>
      <c r="D40" s="11">
        <f>'R. Idriche (letture) '!N18</f>
        <v>12636</v>
      </c>
      <c r="E40" s="11"/>
    </row>
    <row r="41" spans="1:5" ht="15.75" customHeight="1" x14ac:dyDescent="0.25">
      <c r="A41" s="2" t="s">
        <v>31</v>
      </c>
      <c r="B41" s="2" t="s">
        <v>87</v>
      </c>
      <c r="C41" s="11">
        <f>'R. Idriche (letture) '!N7</f>
        <v>10363</v>
      </c>
      <c r="D41" s="11">
        <f>'R. Idriche (letture) '!N19</f>
        <v>11079</v>
      </c>
      <c r="E41" s="25"/>
    </row>
    <row r="42" spans="1:5" ht="15.75" customHeight="1" x14ac:dyDescent="0.25">
      <c r="A42" s="2" t="s">
        <v>32</v>
      </c>
      <c r="B42" s="2" t="s">
        <v>88</v>
      </c>
      <c r="C42" s="11">
        <f>'R. Idriche (letture) '!N8</f>
        <v>6720</v>
      </c>
      <c r="D42" s="11">
        <f>'R. Idriche (letture) '!N20</f>
        <v>3703</v>
      </c>
      <c r="E42" s="25"/>
    </row>
    <row r="43" spans="1:5" ht="15.75" customHeight="1" x14ac:dyDescent="0.25">
      <c r="A43" s="2" t="s">
        <v>33</v>
      </c>
      <c r="B43" s="2" t="s">
        <v>89</v>
      </c>
      <c r="C43" s="11">
        <f>'R. Idriche (letture) '!N9</f>
        <v>8731</v>
      </c>
      <c r="D43" s="11">
        <f>'R. Idriche (letture) '!N21</f>
        <v>19572</v>
      </c>
      <c r="E43" s="25"/>
    </row>
    <row r="44" spans="1:5" ht="15.75" customHeight="1" x14ac:dyDescent="0.25">
      <c r="A44" s="2" t="s">
        <v>34</v>
      </c>
      <c r="B44" s="2" t="s">
        <v>90</v>
      </c>
      <c r="C44" s="11">
        <f>'R. Idriche (letture) '!N10</f>
        <v>13627</v>
      </c>
      <c r="D44" s="11">
        <f>'R. Idriche (letture) '!N22</f>
        <v>13343</v>
      </c>
      <c r="E44" s="25"/>
    </row>
    <row r="45" spans="1:5" ht="15.75" customHeight="1" x14ac:dyDescent="0.25">
      <c r="A45" s="2" t="s">
        <v>35</v>
      </c>
      <c r="B45" s="2" t="s">
        <v>91</v>
      </c>
      <c r="C45" s="11">
        <f>'R. Idriche (letture) '!N11</f>
        <v>11585</v>
      </c>
      <c r="D45" s="11">
        <f>'R. Idriche (letture) '!N23</f>
        <v>13913</v>
      </c>
      <c r="E45" s="25"/>
    </row>
    <row r="46" spans="1:5" ht="15.75" customHeight="1" x14ac:dyDescent="0.25">
      <c r="A46" s="2" t="s">
        <v>36</v>
      </c>
      <c r="B46" s="2" t="s">
        <v>92</v>
      </c>
      <c r="C46" s="11">
        <f>'R. Idriche (letture) '!N12</f>
        <v>1808</v>
      </c>
      <c r="D46" s="11">
        <f>'R. Idriche (letture) '!N24</f>
        <v>0</v>
      </c>
      <c r="E46" s="25"/>
    </row>
    <row r="47" spans="1:5" ht="15.75" customHeight="1" x14ac:dyDescent="0.25">
      <c r="A47" s="2" t="s">
        <v>37</v>
      </c>
      <c r="B47" s="2" t="s">
        <v>93</v>
      </c>
      <c r="C47" s="11">
        <f>'R. Idriche (letture) '!N13</f>
        <v>14400</v>
      </c>
      <c r="D47" s="11">
        <f>'R. Idriche (letture) '!N25</f>
        <v>7196</v>
      </c>
      <c r="E47" s="25"/>
    </row>
    <row r="48" spans="1:5" ht="15.75" customHeight="1" x14ac:dyDescent="0.25">
      <c r="A48" s="2" t="s">
        <v>38</v>
      </c>
      <c r="B48" s="2" t="s">
        <v>94</v>
      </c>
      <c r="C48" s="11">
        <f>'R. Idriche (letture) '!N14</f>
        <v>12136</v>
      </c>
      <c r="D48" s="11">
        <f>'R. Idriche (letture) '!N26</f>
        <v>21147</v>
      </c>
      <c r="E48" s="25"/>
    </row>
    <row r="49" spans="1:5" ht="15.75" customHeight="1" x14ac:dyDescent="0.25">
      <c r="A49" s="2" t="s">
        <v>39</v>
      </c>
      <c r="B49" s="2" t="s">
        <v>95</v>
      </c>
      <c r="C49" s="11">
        <f>'R. Idriche (letture) '!N15</f>
        <v>7415</v>
      </c>
      <c r="D49" s="11">
        <f>'R. Idriche (letture) '!N27</f>
        <v>11989</v>
      </c>
      <c r="E49" s="25"/>
    </row>
    <row r="50" spans="1:5" ht="15.75" customHeight="1" x14ac:dyDescent="0.25">
      <c r="A50" s="2" t="s">
        <v>40</v>
      </c>
      <c r="B50" s="2" t="s">
        <v>96</v>
      </c>
      <c r="C50" s="11">
        <f>'R. Idriche (letture) '!N16</f>
        <v>7232</v>
      </c>
      <c r="D50" s="11">
        <f>'R. Idriche (letture) '!N28</f>
        <v>8578</v>
      </c>
      <c r="E50" s="25"/>
    </row>
    <row r="51" spans="1:5" ht="15.75" customHeight="1" x14ac:dyDescent="0.25">
      <c r="A51" s="12" t="s">
        <v>41</v>
      </c>
      <c r="B51" s="2" t="s">
        <v>97</v>
      </c>
      <c r="C51" s="13">
        <f t="shared" ref="C51:E51" si="2">SUBTOTAL(109,C39:C50)</f>
        <v>113478</v>
      </c>
      <c r="D51" s="13">
        <f t="shared" si="2"/>
        <v>135134</v>
      </c>
      <c r="E51" s="13">
        <f t="shared" si="2"/>
        <v>0</v>
      </c>
    </row>
    <row r="52" spans="1:5" ht="15.75" customHeight="1" x14ac:dyDescent="0.25"/>
    <row r="53" spans="1:5" ht="15.75" customHeight="1" x14ac:dyDescent="0.25"/>
    <row r="54" spans="1:5" ht="15.75" customHeight="1" x14ac:dyDescent="0.25">
      <c r="A54" s="1" t="s">
        <v>98</v>
      </c>
      <c r="B54" s="2"/>
      <c r="C54" s="2"/>
      <c r="D54" s="2"/>
    </row>
    <row r="55" spans="1:5" ht="15.75" customHeight="1" x14ac:dyDescent="0.25">
      <c r="A55" s="2" t="s">
        <v>23</v>
      </c>
      <c r="B55" s="2" t="s">
        <v>24</v>
      </c>
      <c r="C55" s="7" t="s">
        <v>25</v>
      </c>
      <c r="D55" s="7" t="s">
        <v>26</v>
      </c>
      <c r="E55" s="2" t="s">
        <v>27</v>
      </c>
    </row>
    <row r="56" spans="1:5" ht="15.75" customHeight="1" x14ac:dyDescent="0.25">
      <c r="A56" s="2" t="s">
        <v>28</v>
      </c>
      <c r="B56" s="2" t="s">
        <v>99</v>
      </c>
      <c r="C56" s="11">
        <f>'R. Idriche (letture) '!P5</f>
        <v>41</v>
      </c>
      <c r="D56" s="11">
        <f>'R. Idriche (letture) '!P17</f>
        <v>53</v>
      </c>
      <c r="E56" s="11"/>
    </row>
    <row r="57" spans="1:5" ht="15.75" customHeight="1" x14ac:dyDescent="0.25">
      <c r="A57" s="2" t="s">
        <v>30</v>
      </c>
      <c r="B57" s="2" t="s">
        <v>100</v>
      </c>
      <c r="C57" s="11">
        <f>'R. Idriche (letture) '!P6</f>
        <v>44</v>
      </c>
      <c r="D57" s="11">
        <f>'R. Idriche (letture) '!P18</f>
        <v>54</v>
      </c>
      <c r="E57" s="11"/>
    </row>
    <row r="58" spans="1:5" ht="15.75" customHeight="1" x14ac:dyDescent="0.25">
      <c r="A58" s="2" t="s">
        <v>31</v>
      </c>
      <c r="B58" s="2" t="s">
        <v>101</v>
      </c>
      <c r="C58" s="11">
        <f>'R. Idriche (letture) '!P7</f>
        <v>84</v>
      </c>
      <c r="D58" s="11">
        <f>'R. Idriche (letture) '!P19</f>
        <v>55</v>
      </c>
      <c r="E58" s="25"/>
    </row>
    <row r="59" spans="1:5" ht="15.75" customHeight="1" x14ac:dyDescent="0.25">
      <c r="A59" s="2" t="s">
        <v>32</v>
      </c>
      <c r="B59" s="2" t="s">
        <v>102</v>
      </c>
      <c r="C59" s="11">
        <f>'R. Idriche (letture) '!P8</f>
        <v>41</v>
      </c>
      <c r="D59" s="11">
        <f>'R. Idriche (letture) '!P20</f>
        <v>39</v>
      </c>
      <c r="E59" s="25"/>
    </row>
    <row r="60" spans="1:5" ht="15.75" customHeight="1" x14ac:dyDescent="0.25">
      <c r="A60" s="2" t="s">
        <v>33</v>
      </c>
      <c r="B60" s="2" t="s">
        <v>103</v>
      </c>
      <c r="C60" s="11">
        <f>'R. Idriche (letture) '!P9</f>
        <v>65</v>
      </c>
      <c r="D60" s="11">
        <f>'R. Idriche (letture) '!P21</f>
        <v>70</v>
      </c>
      <c r="E60" s="25"/>
    </row>
    <row r="61" spans="1:5" ht="15.75" customHeight="1" x14ac:dyDescent="0.25">
      <c r="A61" s="2" t="s">
        <v>34</v>
      </c>
      <c r="B61" s="2" t="s">
        <v>104</v>
      </c>
      <c r="C61" s="11">
        <f>'R. Idriche (letture) '!P10</f>
        <v>61</v>
      </c>
      <c r="D61" s="11">
        <f>'R. Idriche (letture) '!P22</f>
        <v>60</v>
      </c>
      <c r="E61" s="25"/>
    </row>
    <row r="62" spans="1:5" ht="15.75" customHeight="1" x14ac:dyDescent="0.25">
      <c r="A62" s="2" t="s">
        <v>35</v>
      </c>
      <c r="B62" s="2" t="s">
        <v>105</v>
      </c>
      <c r="C62" s="11">
        <f>'R. Idriche (letture) '!P11</f>
        <v>177</v>
      </c>
      <c r="D62" s="11">
        <f>'R. Idriche (letture) '!P23</f>
        <v>127</v>
      </c>
      <c r="E62" s="25"/>
    </row>
    <row r="63" spans="1:5" ht="15.75" customHeight="1" x14ac:dyDescent="0.25">
      <c r="A63" s="2" t="s">
        <v>36</v>
      </c>
      <c r="B63" s="2" t="s">
        <v>106</v>
      </c>
      <c r="C63" s="11">
        <f>'R. Idriche (letture) '!P12</f>
        <v>6</v>
      </c>
      <c r="D63" s="11">
        <f>'R. Idriche (letture) '!P24</f>
        <v>0</v>
      </c>
      <c r="E63" s="25"/>
    </row>
    <row r="64" spans="1:5" ht="15.75" customHeight="1" x14ac:dyDescent="0.25">
      <c r="A64" s="2" t="s">
        <v>37</v>
      </c>
      <c r="B64" s="2" t="s">
        <v>107</v>
      </c>
      <c r="C64" s="11">
        <f>'R. Idriche (letture) '!P13</f>
        <v>67</v>
      </c>
      <c r="D64" s="11">
        <f>'R. Idriche (letture) '!P25</f>
        <v>80</v>
      </c>
      <c r="E64" s="25"/>
    </row>
    <row r="65" spans="1:6" ht="15.75" customHeight="1" x14ac:dyDescent="0.25">
      <c r="A65" s="2" t="s">
        <v>38</v>
      </c>
      <c r="B65" s="2" t="s">
        <v>108</v>
      </c>
      <c r="C65" s="11">
        <f>'R. Idriche (letture) '!P14</f>
        <v>70</v>
      </c>
      <c r="D65" s="11">
        <f>'R. Idriche (letture) '!P26</f>
        <v>59</v>
      </c>
      <c r="E65" s="25"/>
    </row>
    <row r="66" spans="1:6" ht="15.75" customHeight="1" x14ac:dyDescent="0.25">
      <c r="A66" s="2" t="s">
        <v>39</v>
      </c>
      <c r="B66" s="2" t="s">
        <v>109</v>
      </c>
      <c r="C66" s="11">
        <f>'R. Idriche (letture) '!P15</f>
        <v>60</v>
      </c>
      <c r="D66" s="11">
        <f>'R. Idriche (letture) '!P27</f>
        <v>58</v>
      </c>
      <c r="E66" s="25"/>
    </row>
    <row r="67" spans="1:6" ht="15.75" customHeight="1" x14ac:dyDescent="0.25">
      <c r="A67" s="2" t="s">
        <v>40</v>
      </c>
      <c r="B67" s="2" t="s">
        <v>110</v>
      </c>
      <c r="C67" s="11">
        <f>'R. Idriche (letture) '!P16</f>
        <v>57</v>
      </c>
      <c r="D67" s="11">
        <f>'R. Idriche (letture) '!P28</f>
        <v>51</v>
      </c>
      <c r="E67" s="25"/>
    </row>
    <row r="68" spans="1:6" ht="15.75" customHeight="1" x14ac:dyDescent="0.25">
      <c r="A68" s="12" t="s">
        <v>41</v>
      </c>
      <c r="B68" s="2" t="s">
        <v>111</v>
      </c>
      <c r="C68" s="13">
        <f t="shared" ref="C68:E68" si="3">SUBTOTAL(109,C56:C67)</f>
        <v>773</v>
      </c>
      <c r="D68" s="13">
        <f t="shared" si="3"/>
        <v>706</v>
      </c>
      <c r="E68" s="13">
        <f t="shared" si="3"/>
        <v>0</v>
      </c>
    </row>
    <row r="69" spans="1:6" ht="15.75" customHeight="1" x14ac:dyDescent="0.25"/>
    <row r="70" spans="1:6" ht="15.75" customHeight="1" x14ac:dyDescent="0.25"/>
    <row r="71" spans="1:6" ht="15.75" customHeight="1" x14ac:dyDescent="0.25">
      <c r="A71" s="1" t="s">
        <v>112</v>
      </c>
      <c r="B71" s="2"/>
      <c r="C71" s="2"/>
      <c r="D71" s="2"/>
    </row>
    <row r="72" spans="1:6" ht="15.75" customHeight="1" x14ac:dyDescent="0.25">
      <c r="A72" s="2" t="s">
        <v>23</v>
      </c>
      <c r="B72" s="2" t="s">
        <v>24</v>
      </c>
      <c r="C72" s="2" t="s">
        <v>25</v>
      </c>
      <c r="D72" s="2" t="s">
        <v>26</v>
      </c>
      <c r="E72" s="2" t="s">
        <v>27</v>
      </c>
      <c r="F72" s="2"/>
    </row>
    <row r="73" spans="1:6" ht="15.75" customHeight="1" x14ac:dyDescent="0.25">
      <c r="A73" s="2" t="s">
        <v>28</v>
      </c>
      <c r="B73" s="2" t="s">
        <v>113</v>
      </c>
      <c r="C73" s="11">
        <f t="shared" ref="C73:E73" si="4">C5+C22+C39+C56</f>
        <v>31321</v>
      </c>
      <c r="D73" s="11">
        <f t="shared" si="4"/>
        <v>12897</v>
      </c>
      <c r="E73" s="11">
        <f t="shared" si="4"/>
        <v>0</v>
      </c>
      <c r="F73" s="2"/>
    </row>
    <row r="74" spans="1:6" ht="15.75" customHeight="1" x14ac:dyDescent="0.25">
      <c r="A74" s="2" t="s">
        <v>30</v>
      </c>
      <c r="B74" s="2" t="s">
        <v>114</v>
      </c>
      <c r="C74" s="11">
        <f t="shared" ref="C74:E74" si="5">C6+C23+C40+C57</f>
        <v>33930</v>
      </c>
      <c r="D74" s="11">
        <f t="shared" si="5"/>
        <v>13986</v>
      </c>
      <c r="E74" s="11">
        <f t="shared" si="5"/>
        <v>0</v>
      </c>
      <c r="F74" s="2"/>
    </row>
    <row r="75" spans="1:6" ht="15.75" customHeight="1" x14ac:dyDescent="0.25">
      <c r="A75" s="2" t="s">
        <v>31</v>
      </c>
      <c r="B75" s="2" t="s">
        <v>115</v>
      </c>
      <c r="C75" s="11">
        <f t="shared" ref="C75:E75" si="6">C7+C24+C41+C58</f>
        <v>32162</v>
      </c>
      <c r="D75" s="11">
        <f t="shared" si="6"/>
        <v>12455</v>
      </c>
      <c r="E75" s="11">
        <f t="shared" si="6"/>
        <v>0</v>
      </c>
      <c r="F75" s="7"/>
    </row>
    <row r="76" spans="1:6" ht="15.75" customHeight="1" x14ac:dyDescent="0.25">
      <c r="A76" s="2" t="s">
        <v>32</v>
      </c>
      <c r="B76" s="2" t="s">
        <v>116</v>
      </c>
      <c r="C76" s="11">
        <f t="shared" ref="C76:E76" si="7">C8+C25+C42+C59</f>
        <v>24537</v>
      </c>
      <c r="D76" s="11">
        <f t="shared" si="7"/>
        <v>4740</v>
      </c>
      <c r="E76" s="11">
        <f t="shared" si="7"/>
        <v>0</v>
      </c>
      <c r="F76" s="2"/>
    </row>
    <row r="77" spans="1:6" ht="15.75" customHeight="1" x14ac:dyDescent="0.25">
      <c r="A77" s="2" t="s">
        <v>33</v>
      </c>
      <c r="B77" s="2" t="s">
        <v>117</v>
      </c>
      <c r="C77" s="11">
        <f t="shared" ref="C77:E77" si="8">C9+C26+C43+C60</f>
        <v>21997</v>
      </c>
      <c r="D77" s="11">
        <f t="shared" si="8"/>
        <v>21066</v>
      </c>
      <c r="E77" s="11">
        <f t="shared" si="8"/>
        <v>0</v>
      </c>
      <c r="F77" s="2"/>
    </row>
    <row r="78" spans="1:6" ht="15.75" customHeight="1" x14ac:dyDescent="0.25">
      <c r="A78" s="2" t="s">
        <v>34</v>
      </c>
      <c r="B78" s="2" t="s">
        <v>118</v>
      </c>
      <c r="C78" s="11">
        <f t="shared" ref="C78:E78" si="9">C10+C27+C44+C61</f>
        <v>20341</v>
      </c>
      <c r="D78" s="11">
        <f t="shared" si="9"/>
        <v>14528</v>
      </c>
      <c r="E78" s="11">
        <f t="shared" si="9"/>
        <v>0</v>
      </c>
      <c r="F78" s="7"/>
    </row>
    <row r="79" spans="1:6" ht="15.75" customHeight="1" x14ac:dyDescent="0.25">
      <c r="A79" s="2" t="s">
        <v>35</v>
      </c>
      <c r="B79" s="2" t="s">
        <v>119</v>
      </c>
      <c r="C79" s="11">
        <f t="shared" ref="C79:E79" si="10">C11+C28+C45+C62</f>
        <v>13083</v>
      </c>
      <c r="D79" s="11">
        <f t="shared" si="10"/>
        <v>15280</v>
      </c>
      <c r="E79" s="11">
        <f t="shared" si="10"/>
        <v>0</v>
      </c>
      <c r="F79" s="2"/>
    </row>
    <row r="80" spans="1:6" ht="15.75" customHeight="1" x14ac:dyDescent="0.25">
      <c r="A80" s="2" t="s">
        <v>36</v>
      </c>
      <c r="B80" s="2" t="s">
        <v>120</v>
      </c>
      <c r="C80" s="11">
        <f t="shared" ref="C80:E80" si="11">C12+C29+C46+C63</f>
        <v>1919</v>
      </c>
      <c r="D80" s="11">
        <f t="shared" si="11"/>
        <v>0</v>
      </c>
      <c r="E80" s="11">
        <f t="shared" si="11"/>
        <v>0</v>
      </c>
      <c r="F80" s="2"/>
    </row>
    <row r="81" spans="1:6" ht="15.75" customHeight="1" x14ac:dyDescent="0.25">
      <c r="A81" s="2" t="s">
        <v>37</v>
      </c>
      <c r="B81" s="2" t="s">
        <v>121</v>
      </c>
      <c r="C81" s="11">
        <f t="shared" ref="C81:E81" si="12">C13+C30+C47+C64</f>
        <v>16114</v>
      </c>
      <c r="D81" s="11">
        <f t="shared" si="12"/>
        <v>7793</v>
      </c>
      <c r="E81" s="11">
        <f t="shared" si="12"/>
        <v>0</v>
      </c>
      <c r="F81" s="7"/>
    </row>
    <row r="82" spans="1:6" ht="15.75" customHeight="1" x14ac:dyDescent="0.25">
      <c r="A82" s="2" t="s">
        <v>38</v>
      </c>
      <c r="B82" s="2" t="s">
        <v>122</v>
      </c>
      <c r="C82" s="11">
        <f t="shared" ref="C82:E82" si="13">C14+C31+C48+C65</f>
        <v>13238</v>
      </c>
      <c r="D82" s="11">
        <f t="shared" si="13"/>
        <v>23027</v>
      </c>
      <c r="E82" s="11">
        <f t="shared" si="13"/>
        <v>0</v>
      </c>
      <c r="F82" s="2"/>
    </row>
    <row r="83" spans="1:6" ht="15.75" customHeight="1" x14ac:dyDescent="0.25">
      <c r="A83" s="2" t="s">
        <v>39</v>
      </c>
      <c r="B83" s="2" t="s">
        <v>123</v>
      </c>
      <c r="C83" s="11">
        <f t="shared" ref="C83:E83" si="14">C15+C32+C49+C66</f>
        <v>8130</v>
      </c>
      <c r="D83" s="11">
        <f t="shared" si="14"/>
        <v>13049</v>
      </c>
      <c r="E83" s="11">
        <f t="shared" si="14"/>
        <v>0</v>
      </c>
      <c r="F83" s="2"/>
    </row>
    <row r="84" spans="1:6" ht="15.75" customHeight="1" x14ac:dyDescent="0.25">
      <c r="A84" s="2" t="s">
        <v>40</v>
      </c>
      <c r="B84" s="2" t="s">
        <v>124</v>
      </c>
      <c r="C84" s="11">
        <f t="shared" ref="C84:E84" si="15">C16+C33+C50+C67</f>
        <v>7892</v>
      </c>
      <c r="D84" s="11">
        <f t="shared" si="15"/>
        <v>9295</v>
      </c>
      <c r="E84" s="11">
        <f t="shared" si="15"/>
        <v>0</v>
      </c>
      <c r="F84" s="2"/>
    </row>
    <row r="85" spans="1:6" ht="15.75" customHeight="1" x14ac:dyDescent="0.25">
      <c r="A85" s="12" t="s">
        <v>41</v>
      </c>
      <c r="B85" s="2" t="s">
        <v>125</v>
      </c>
      <c r="C85" s="13">
        <f t="shared" ref="C85:E85" si="16">SUBTOTAL(109,C73:C84)</f>
        <v>224664</v>
      </c>
      <c r="D85" s="13">
        <f t="shared" si="16"/>
        <v>148116</v>
      </c>
      <c r="E85" s="13">
        <f t="shared" si="16"/>
        <v>0</v>
      </c>
      <c r="F85" s="2"/>
    </row>
  </sheetData>
  <pageMargins left="0.7" right="0.7" top="0.75" bottom="0.75" header="0" footer="0"/>
  <pageSetup orientation="landscape"/>
  <tableParts count="5">
    <tablePart r:id="rId1"/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1"/>
  <sheetViews>
    <sheetView showGridLines="0" workbookViewId="0">
      <selection activeCell="Q29" sqref="Q29"/>
    </sheetView>
  </sheetViews>
  <sheetFormatPr defaultColWidth="14.42578125" defaultRowHeight="15" customHeight="1" x14ac:dyDescent="0.25"/>
  <cols>
    <col min="1" max="6" width="12.7109375" customWidth="1"/>
    <col min="7" max="7" width="6.7109375" customWidth="1"/>
    <col min="8" max="8" width="12.7109375" customWidth="1"/>
    <col min="9" max="9" width="14.7109375" bestFit="1" customWidth="1"/>
    <col min="10" max="17" width="12.7109375" customWidth="1"/>
  </cols>
  <sheetData>
    <row r="1" spans="1:17" x14ac:dyDescent="0.25">
      <c r="A1" s="18" t="s">
        <v>45</v>
      </c>
      <c r="B1" s="18"/>
      <c r="C1" s="26"/>
      <c r="D1" s="26"/>
      <c r="E1" s="26"/>
      <c r="F1" s="18"/>
      <c r="G1" s="18"/>
      <c r="H1" s="18"/>
      <c r="I1" s="18"/>
      <c r="J1" s="2"/>
      <c r="K1" s="2"/>
      <c r="L1" s="2"/>
      <c r="M1" s="2"/>
      <c r="N1" s="2"/>
      <c r="O1" s="2"/>
      <c r="P1" s="2"/>
      <c r="Q1" s="2"/>
    </row>
    <row r="2" spans="1:17" x14ac:dyDescent="0.25">
      <c r="A2" s="18"/>
      <c r="B2" s="18"/>
      <c r="C2" s="26"/>
      <c r="D2" s="26"/>
      <c r="E2" s="26"/>
      <c r="F2" s="18"/>
      <c r="G2" s="18"/>
      <c r="H2" s="18"/>
      <c r="I2" s="18"/>
      <c r="J2" s="2"/>
      <c r="K2" s="2"/>
      <c r="L2" s="2"/>
      <c r="M2" s="2"/>
      <c r="N2" s="2"/>
      <c r="O2" s="2"/>
      <c r="P2" s="2"/>
      <c r="Q2" s="2"/>
    </row>
    <row r="3" spans="1:17" x14ac:dyDescent="0.25">
      <c r="A3" s="1" t="s">
        <v>126</v>
      </c>
      <c r="B3" s="2"/>
      <c r="C3" s="2"/>
      <c r="D3" s="2"/>
      <c r="E3" s="7"/>
      <c r="F3" s="11"/>
      <c r="G3" s="11"/>
      <c r="H3" s="27" t="s">
        <v>127</v>
      </c>
      <c r="I3" s="11"/>
      <c r="J3" s="11"/>
      <c r="K3" s="11"/>
      <c r="L3" s="11"/>
      <c r="M3" s="2"/>
      <c r="N3" s="2"/>
      <c r="O3" s="2"/>
      <c r="P3" s="2"/>
      <c r="Q3" s="2"/>
    </row>
    <row r="4" spans="1:17" x14ac:dyDescent="0.25">
      <c r="A4" s="2" t="s">
        <v>128</v>
      </c>
      <c r="B4" s="2" t="s">
        <v>129</v>
      </c>
      <c r="C4" s="2" t="s">
        <v>130</v>
      </c>
      <c r="D4" s="2" t="s">
        <v>131</v>
      </c>
      <c r="E4" s="7" t="s">
        <v>132</v>
      </c>
      <c r="F4" s="11" t="s">
        <v>98</v>
      </c>
      <c r="G4" s="11"/>
      <c r="H4" s="28" t="s">
        <v>133</v>
      </c>
      <c r="I4" s="29" t="s">
        <v>129</v>
      </c>
      <c r="J4" s="196" t="s">
        <v>130</v>
      </c>
      <c r="K4" s="194"/>
      <c r="L4" s="196" t="s">
        <v>131</v>
      </c>
      <c r="M4" s="194"/>
      <c r="N4" s="193" t="s">
        <v>132</v>
      </c>
      <c r="O4" s="194"/>
      <c r="P4" s="193" t="s">
        <v>98</v>
      </c>
      <c r="Q4" s="195"/>
    </row>
    <row r="5" spans="1:17" x14ac:dyDescent="0.25">
      <c r="A5" s="30">
        <v>44926</v>
      </c>
      <c r="B5" s="2" t="s">
        <v>134</v>
      </c>
      <c r="C5" s="7">
        <v>2308584</v>
      </c>
      <c r="D5" s="7">
        <v>874799</v>
      </c>
      <c r="E5" s="7">
        <v>2500769</v>
      </c>
      <c r="F5" s="11">
        <v>22798</v>
      </c>
      <c r="G5" s="11"/>
      <c r="H5" s="109">
        <v>44927</v>
      </c>
      <c r="I5" s="110" t="str">
        <f>'R. Idriche (letture) '!$B5</f>
        <v>[m3]</v>
      </c>
      <c r="J5" s="111">
        <f>C6-'R. Idriche (letture) '!$C5</f>
        <v>21883</v>
      </c>
      <c r="K5" s="111">
        <f>J5</f>
        <v>21883</v>
      </c>
      <c r="L5" s="111">
        <f>D6-'R. Idriche (letture) '!$D5</f>
        <v>229</v>
      </c>
      <c r="M5" s="111">
        <f>L5</f>
        <v>229</v>
      </c>
      <c r="N5" s="111">
        <f>E6-'R. Idriche (letture) '!$E5</f>
        <v>9168</v>
      </c>
      <c r="O5" s="111">
        <f>N5</f>
        <v>9168</v>
      </c>
      <c r="P5" s="112">
        <f>F6-'R. Idriche (letture) '!$F5</f>
        <v>41</v>
      </c>
      <c r="Q5" s="112">
        <f>P5</f>
        <v>41</v>
      </c>
    </row>
    <row r="6" spans="1:17" x14ac:dyDescent="0.25">
      <c r="A6" s="30">
        <v>44957</v>
      </c>
      <c r="B6" s="2" t="s">
        <v>134</v>
      </c>
      <c r="C6" s="7">
        <v>2330467</v>
      </c>
      <c r="D6" s="7">
        <v>875028</v>
      </c>
      <c r="E6" s="7">
        <v>2509937</v>
      </c>
      <c r="F6" s="11">
        <v>22839</v>
      </c>
      <c r="G6" s="11"/>
      <c r="H6" s="31">
        <v>44958</v>
      </c>
      <c r="I6" s="32" t="str">
        <f>'R. Idriche (letture) '!$B6</f>
        <v>[m3]</v>
      </c>
      <c r="J6" s="33">
        <f>C7-'R. Idriche (letture) '!$C6</f>
        <v>23343</v>
      </c>
      <c r="K6" s="33">
        <f t="shared" ref="K6:K16" si="0">J6+K5</f>
        <v>45226</v>
      </c>
      <c r="L6" s="33">
        <f>D7-'R. Idriche (letture) '!$D6</f>
        <v>250</v>
      </c>
      <c r="M6" s="33">
        <f t="shared" ref="M6:M16" si="1">L6+M5</f>
        <v>479</v>
      </c>
      <c r="N6" s="33">
        <f>E7-'R. Idriche (letture) '!$E6</f>
        <v>10293</v>
      </c>
      <c r="O6" s="33">
        <f t="shared" ref="O6:O16" si="2">N6+O5</f>
        <v>19461</v>
      </c>
      <c r="P6" s="34">
        <f>F7-'R. Idriche (letture) '!$F6</f>
        <v>44</v>
      </c>
      <c r="Q6" s="34">
        <f t="shared" ref="Q6:Q16" si="3">P6+Q5</f>
        <v>85</v>
      </c>
    </row>
    <row r="7" spans="1:17" x14ac:dyDescent="0.25">
      <c r="A7" s="30">
        <v>44985</v>
      </c>
      <c r="B7" s="2" t="s">
        <v>134</v>
      </c>
      <c r="C7" s="7">
        <v>2353810</v>
      </c>
      <c r="D7" s="7">
        <v>875278</v>
      </c>
      <c r="E7" s="7">
        <v>2520230</v>
      </c>
      <c r="F7" s="11">
        <v>22883</v>
      </c>
      <c r="G7" s="11"/>
      <c r="H7" s="109">
        <v>44986</v>
      </c>
      <c r="I7" s="110" t="str">
        <f>'R. Idriche (letture) '!$B7</f>
        <v>[m3]</v>
      </c>
      <c r="J7" s="111">
        <f>C8-'R. Idriche (letture) '!$C7</f>
        <v>21509</v>
      </c>
      <c r="K7" s="111">
        <f t="shared" si="0"/>
        <v>66735</v>
      </c>
      <c r="L7" s="111">
        <f>D8-'R. Idriche (letture) '!$D7</f>
        <v>206</v>
      </c>
      <c r="M7" s="111">
        <f t="shared" si="1"/>
        <v>685</v>
      </c>
      <c r="N7" s="111">
        <f>E8-'R. Idriche (letture) '!$E7</f>
        <v>10363</v>
      </c>
      <c r="O7" s="111">
        <f t="shared" si="2"/>
        <v>29824</v>
      </c>
      <c r="P7" s="112">
        <f>F8-'R. Idriche (letture) '!$F7</f>
        <v>84</v>
      </c>
      <c r="Q7" s="112">
        <f t="shared" si="3"/>
        <v>169</v>
      </c>
    </row>
    <row r="8" spans="1:17" x14ac:dyDescent="0.25">
      <c r="A8" s="30">
        <v>45016</v>
      </c>
      <c r="B8" s="2" t="s">
        <v>134</v>
      </c>
      <c r="C8" s="7">
        <v>2375319</v>
      </c>
      <c r="D8" s="7">
        <v>875484</v>
      </c>
      <c r="E8" s="7">
        <v>2530593</v>
      </c>
      <c r="F8" s="11">
        <v>22967</v>
      </c>
      <c r="G8" s="11"/>
      <c r="H8" s="31">
        <v>45017</v>
      </c>
      <c r="I8" s="32" t="str">
        <f>'R. Idriche (letture) '!$B8</f>
        <v>[m3]</v>
      </c>
      <c r="J8" s="33">
        <f>C9-'R. Idriche (letture) '!$C8</f>
        <v>17681</v>
      </c>
      <c r="K8" s="33">
        <f t="shared" si="0"/>
        <v>84416</v>
      </c>
      <c r="L8" s="33">
        <f>D9-'R. Idriche (letture) '!$D8</f>
        <v>95</v>
      </c>
      <c r="M8" s="33">
        <f t="shared" si="1"/>
        <v>780</v>
      </c>
      <c r="N8" s="33">
        <f>E9-'R. Idriche (letture) '!$E8</f>
        <v>6720</v>
      </c>
      <c r="O8" s="33">
        <f t="shared" si="2"/>
        <v>36544</v>
      </c>
      <c r="P8" s="34">
        <f>F9-'R. Idriche (letture) '!$F8</f>
        <v>41</v>
      </c>
      <c r="Q8" s="34">
        <f t="shared" si="3"/>
        <v>210</v>
      </c>
    </row>
    <row r="9" spans="1:17" x14ac:dyDescent="0.25">
      <c r="A9" s="30">
        <v>45046</v>
      </c>
      <c r="B9" s="2" t="s">
        <v>134</v>
      </c>
      <c r="C9" s="7">
        <v>2393000</v>
      </c>
      <c r="D9" s="7">
        <v>875579</v>
      </c>
      <c r="E9" s="7">
        <v>2537313</v>
      </c>
      <c r="F9" s="11">
        <v>23008</v>
      </c>
      <c r="G9" s="11"/>
      <c r="H9" s="109">
        <v>45047</v>
      </c>
      <c r="I9" s="110" t="str">
        <f>'R. Idriche (letture) '!$B9</f>
        <v>[m3]</v>
      </c>
      <c r="J9" s="111">
        <f>C10-'R. Idriche (letture) '!$C9</f>
        <v>13090</v>
      </c>
      <c r="K9" s="111">
        <f t="shared" si="0"/>
        <v>97506</v>
      </c>
      <c r="L9" s="111">
        <f>D10-'R. Idriche (letture) '!$D9</f>
        <v>111</v>
      </c>
      <c r="M9" s="111">
        <f t="shared" si="1"/>
        <v>891</v>
      </c>
      <c r="N9" s="111">
        <f>E10-'R. Idriche (letture) '!$E9</f>
        <v>8731</v>
      </c>
      <c r="O9" s="111">
        <f t="shared" si="2"/>
        <v>45275</v>
      </c>
      <c r="P9" s="112">
        <f>F10-'R. Idriche (letture) '!$F9</f>
        <v>65</v>
      </c>
      <c r="Q9" s="112">
        <f t="shared" si="3"/>
        <v>275</v>
      </c>
    </row>
    <row r="10" spans="1:17" x14ac:dyDescent="0.25">
      <c r="A10" s="30">
        <v>45077</v>
      </c>
      <c r="B10" s="2" t="s">
        <v>134</v>
      </c>
      <c r="C10" s="7">
        <v>2406090</v>
      </c>
      <c r="D10" s="7">
        <v>875690</v>
      </c>
      <c r="E10" s="7">
        <v>2546044</v>
      </c>
      <c r="F10" s="11">
        <v>23073</v>
      </c>
      <c r="G10" s="11"/>
      <c r="H10" s="31">
        <v>45078</v>
      </c>
      <c r="I10" s="32" t="str">
        <f>'R. Idriche (letture) '!$B10</f>
        <v>[m3]</v>
      </c>
      <c r="J10" s="33">
        <f>C11-'R. Idriche (letture) '!$C10</f>
        <v>6038</v>
      </c>
      <c r="K10" s="33">
        <f t="shared" si="0"/>
        <v>103544</v>
      </c>
      <c r="L10" s="33">
        <f>D11-'R. Idriche (letture) '!$D10</f>
        <v>615</v>
      </c>
      <c r="M10" s="33">
        <f t="shared" si="1"/>
        <v>1506</v>
      </c>
      <c r="N10" s="33">
        <f>E11-'R. Idriche (letture) '!$E10</f>
        <v>13627</v>
      </c>
      <c r="O10" s="33">
        <f t="shared" si="2"/>
        <v>58902</v>
      </c>
      <c r="P10" s="34">
        <f>F11-'R. Idriche (letture) '!$F10</f>
        <v>61</v>
      </c>
      <c r="Q10" s="34">
        <f t="shared" si="3"/>
        <v>336</v>
      </c>
    </row>
    <row r="11" spans="1:17" x14ac:dyDescent="0.25">
      <c r="A11" s="30">
        <v>45107</v>
      </c>
      <c r="B11" s="2" t="s">
        <v>134</v>
      </c>
      <c r="C11" s="7">
        <v>2412128</v>
      </c>
      <c r="D11" s="7">
        <v>876305</v>
      </c>
      <c r="E11" s="7">
        <v>2559671</v>
      </c>
      <c r="F11" s="11">
        <v>23134</v>
      </c>
      <c r="G11" s="11"/>
      <c r="H11" s="109">
        <v>45108</v>
      </c>
      <c r="I11" s="110" t="str">
        <f>'R. Idriche (letture) '!$B11</f>
        <v>[m3]</v>
      </c>
      <c r="J11" s="111">
        <f>C12-'R. Idriche (letture) '!$C11</f>
        <v>0</v>
      </c>
      <c r="K11" s="111">
        <f t="shared" si="0"/>
        <v>103544</v>
      </c>
      <c r="L11" s="111">
        <f>D12-'R. Idriche (letture) '!$D11</f>
        <v>1321</v>
      </c>
      <c r="M11" s="111">
        <f t="shared" si="1"/>
        <v>2827</v>
      </c>
      <c r="N11" s="111">
        <f>E12-'R. Idriche (letture) '!$E11</f>
        <v>11585</v>
      </c>
      <c r="O11" s="111">
        <f t="shared" si="2"/>
        <v>70487</v>
      </c>
      <c r="P11" s="112">
        <f>F12-'R. Idriche (letture) '!$F11</f>
        <v>177</v>
      </c>
      <c r="Q11" s="112">
        <f t="shared" si="3"/>
        <v>513</v>
      </c>
    </row>
    <row r="12" spans="1:17" x14ac:dyDescent="0.25">
      <c r="A12" s="30">
        <v>45138</v>
      </c>
      <c r="B12" s="2" t="s">
        <v>134</v>
      </c>
      <c r="C12" s="7">
        <v>2412128</v>
      </c>
      <c r="D12" s="7">
        <v>877626</v>
      </c>
      <c r="E12" s="7">
        <v>2571256</v>
      </c>
      <c r="F12" s="11">
        <v>23311</v>
      </c>
      <c r="G12" s="11"/>
      <c r="H12" s="31">
        <v>45139</v>
      </c>
      <c r="I12" s="32" t="str">
        <f>'R. Idriche (letture) '!$B12</f>
        <v>[m3]</v>
      </c>
      <c r="J12" s="33">
        <f>C13-'R. Idriche (letture) '!$C12</f>
        <v>0</v>
      </c>
      <c r="K12" s="33">
        <f t="shared" si="0"/>
        <v>103544</v>
      </c>
      <c r="L12" s="33">
        <f>D13-'R. Idriche (letture) '!$D12</f>
        <v>105</v>
      </c>
      <c r="M12" s="33">
        <f t="shared" si="1"/>
        <v>2932</v>
      </c>
      <c r="N12" s="33">
        <f>E13-'R. Idriche (letture) '!$E12</f>
        <v>1808</v>
      </c>
      <c r="O12" s="33">
        <f t="shared" si="2"/>
        <v>72295</v>
      </c>
      <c r="P12" s="34">
        <f>F13-'R. Idriche (letture) '!$F12</f>
        <v>6</v>
      </c>
      <c r="Q12" s="34">
        <f t="shared" si="3"/>
        <v>519</v>
      </c>
    </row>
    <row r="13" spans="1:17" x14ac:dyDescent="0.25">
      <c r="A13" s="30">
        <v>45169</v>
      </c>
      <c r="B13" s="2" t="s">
        <v>134</v>
      </c>
      <c r="C13" s="7">
        <v>2412128</v>
      </c>
      <c r="D13" s="7">
        <v>877731</v>
      </c>
      <c r="E13" s="7">
        <v>2573064</v>
      </c>
      <c r="F13" s="11">
        <v>23317</v>
      </c>
      <c r="G13" s="11"/>
      <c r="H13" s="109">
        <v>45170</v>
      </c>
      <c r="I13" s="110" t="str">
        <f>'R. Idriche (letture) '!$B13</f>
        <v>[m3]</v>
      </c>
      <c r="J13" s="111">
        <f>C14-'R. Idriche (letture) '!$C13</f>
        <v>0</v>
      </c>
      <c r="K13" s="111">
        <f t="shared" si="0"/>
        <v>103544</v>
      </c>
      <c r="L13" s="111">
        <f>D14-'R. Idriche (letture) '!$D13</f>
        <v>1647</v>
      </c>
      <c r="M13" s="111">
        <f t="shared" si="1"/>
        <v>4579</v>
      </c>
      <c r="N13" s="111">
        <f>E14-'R. Idriche (letture) '!$E13</f>
        <v>14400</v>
      </c>
      <c r="O13" s="111">
        <f t="shared" si="2"/>
        <v>86695</v>
      </c>
      <c r="P13" s="112">
        <f>F14-'R. Idriche (letture) '!$F13</f>
        <v>67</v>
      </c>
      <c r="Q13" s="112">
        <f t="shared" si="3"/>
        <v>586</v>
      </c>
    </row>
    <row r="14" spans="1:17" x14ac:dyDescent="0.25">
      <c r="A14" s="30">
        <v>45199</v>
      </c>
      <c r="B14" s="2" t="s">
        <v>134</v>
      </c>
      <c r="C14" s="7">
        <v>2412128</v>
      </c>
      <c r="D14" s="7">
        <v>879378</v>
      </c>
      <c r="E14" s="7">
        <v>2587464</v>
      </c>
      <c r="F14" s="11">
        <v>23384</v>
      </c>
      <c r="G14" s="11"/>
      <c r="H14" s="31">
        <v>45200</v>
      </c>
      <c r="I14" s="32" t="str">
        <f>'R. Idriche (letture) '!$B14</f>
        <v>[m3]</v>
      </c>
      <c r="J14" s="33">
        <f>C15-'R. Idriche (letture) '!$C14</f>
        <v>0</v>
      </c>
      <c r="K14" s="33">
        <f t="shared" si="0"/>
        <v>103544</v>
      </c>
      <c r="L14" s="33">
        <f>D15-'R. Idriche (letture) '!$D14</f>
        <v>1032</v>
      </c>
      <c r="M14" s="33">
        <f t="shared" si="1"/>
        <v>5611</v>
      </c>
      <c r="N14" s="33">
        <f>E15-'R. Idriche (letture) '!$E14</f>
        <v>12136</v>
      </c>
      <c r="O14" s="33">
        <f t="shared" si="2"/>
        <v>98831</v>
      </c>
      <c r="P14" s="34">
        <f>F15-'R. Idriche (letture) '!$F14</f>
        <v>70</v>
      </c>
      <c r="Q14" s="34">
        <f t="shared" si="3"/>
        <v>656</v>
      </c>
    </row>
    <row r="15" spans="1:17" x14ac:dyDescent="0.25">
      <c r="A15" s="30">
        <v>45230</v>
      </c>
      <c r="B15" s="2" t="s">
        <v>134</v>
      </c>
      <c r="C15" s="7">
        <v>2412128</v>
      </c>
      <c r="D15" s="7">
        <v>880410</v>
      </c>
      <c r="E15" s="7">
        <v>2599600</v>
      </c>
      <c r="F15" s="11">
        <v>23454</v>
      </c>
      <c r="G15" s="11"/>
      <c r="H15" s="109">
        <v>45231</v>
      </c>
      <c r="I15" s="110" t="str">
        <f>'R. Idriche (letture) '!$B15</f>
        <v>[m3]</v>
      </c>
      <c r="J15" s="111">
        <f>C16-'R. Idriche (letture) '!$C15</f>
        <v>0</v>
      </c>
      <c r="K15" s="111">
        <f t="shared" si="0"/>
        <v>103544</v>
      </c>
      <c r="L15" s="111">
        <f>D16-'R. Idriche (letture) '!$D15</f>
        <v>655</v>
      </c>
      <c r="M15" s="111">
        <f t="shared" si="1"/>
        <v>6266</v>
      </c>
      <c r="N15" s="111">
        <f>E16-'R. Idriche (letture) '!$E15</f>
        <v>7415</v>
      </c>
      <c r="O15" s="111">
        <f t="shared" si="2"/>
        <v>106246</v>
      </c>
      <c r="P15" s="112">
        <f>F16-'R. Idriche (letture) '!$F15</f>
        <v>60</v>
      </c>
      <c r="Q15" s="112">
        <f t="shared" si="3"/>
        <v>716</v>
      </c>
    </row>
    <row r="16" spans="1:17" x14ac:dyDescent="0.25">
      <c r="A16" s="30">
        <v>45260</v>
      </c>
      <c r="B16" s="2" t="s">
        <v>134</v>
      </c>
      <c r="C16" s="7">
        <v>2412128</v>
      </c>
      <c r="D16" s="7">
        <v>881065</v>
      </c>
      <c r="E16" s="7">
        <v>2607015</v>
      </c>
      <c r="F16" s="11">
        <v>23514</v>
      </c>
      <c r="G16" s="11"/>
      <c r="H16" s="113">
        <v>45261</v>
      </c>
      <c r="I16" s="114" t="str">
        <f>'R. Idriche (letture) '!$B16</f>
        <v>[m3]</v>
      </c>
      <c r="J16" s="115">
        <f>C17-'R. Idriche (letture) '!$C16</f>
        <v>0</v>
      </c>
      <c r="K16" s="116">
        <f t="shared" si="0"/>
        <v>103544</v>
      </c>
      <c r="L16" s="115">
        <f>D17-'R. Idriche (letture) '!$D16</f>
        <v>603</v>
      </c>
      <c r="M16" s="116">
        <f t="shared" si="1"/>
        <v>6869</v>
      </c>
      <c r="N16" s="115">
        <f>E17-'R. Idriche (letture) '!$E16</f>
        <v>7232</v>
      </c>
      <c r="O16" s="116">
        <f t="shared" si="2"/>
        <v>113478</v>
      </c>
      <c r="P16" s="117">
        <f>F17-'R. Idriche (letture) '!$F16</f>
        <v>57</v>
      </c>
      <c r="Q16" s="118">
        <f t="shared" si="3"/>
        <v>773</v>
      </c>
    </row>
    <row r="17" spans="1:17" x14ac:dyDescent="0.25">
      <c r="A17" s="30">
        <v>45291</v>
      </c>
      <c r="B17" s="2" t="s">
        <v>134</v>
      </c>
      <c r="C17" s="7">
        <v>2412128</v>
      </c>
      <c r="D17" s="7">
        <v>881668</v>
      </c>
      <c r="E17" s="7">
        <v>2614247</v>
      </c>
      <c r="F17" s="11">
        <v>23571</v>
      </c>
      <c r="G17" s="11"/>
      <c r="H17" s="109">
        <v>45292</v>
      </c>
      <c r="I17" s="110" t="str">
        <f>'R. Idriche (letture) '!$B17</f>
        <v>[m3]</v>
      </c>
      <c r="J17" s="111">
        <f>C18-'R. Idriche (letture) '!$C17</f>
        <v>0</v>
      </c>
      <c r="K17" s="111">
        <f>J17</f>
        <v>0</v>
      </c>
      <c r="L17" s="111">
        <f>D18-'R. Idriche (letture) '!$D17</f>
        <v>866</v>
      </c>
      <c r="M17" s="111">
        <f>L17</f>
        <v>866</v>
      </c>
      <c r="N17" s="111">
        <f>E18-'R. Idriche (letture) '!$E17</f>
        <v>11978</v>
      </c>
      <c r="O17" s="111">
        <f>N17</f>
        <v>11978</v>
      </c>
      <c r="P17" s="112">
        <f>F18-'R. Idriche (letture) '!$F17</f>
        <v>53</v>
      </c>
      <c r="Q17" s="112">
        <f>P17</f>
        <v>53</v>
      </c>
    </row>
    <row r="18" spans="1:17" x14ac:dyDescent="0.25">
      <c r="A18" s="30">
        <v>45322</v>
      </c>
      <c r="B18" s="2" t="s">
        <v>134</v>
      </c>
      <c r="C18" s="7">
        <v>2412128</v>
      </c>
      <c r="D18" s="7">
        <v>882534</v>
      </c>
      <c r="E18" s="7">
        <v>2626225</v>
      </c>
      <c r="F18" s="11">
        <v>23624</v>
      </c>
      <c r="G18" s="11"/>
      <c r="H18" s="31">
        <v>45323</v>
      </c>
      <c r="I18" s="32" t="str">
        <f>'R. Idriche (letture) '!$B18</f>
        <v>[m3]</v>
      </c>
      <c r="J18" s="33">
        <f>C19-'R. Idriche (letture) '!$C18</f>
        <v>0</v>
      </c>
      <c r="K18" s="33">
        <f t="shared" ref="K18:K100" si="4">J18+K17</f>
        <v>0</v>
      </c>
      <c r="L18" s="33">
        <f>D19-'R. Idriche (letture) '!$D18</f>
        <v>1296</v>
      </c>
      <c r="M18" s="33">
        <f t="shared" ref="M18:M100" si="5">L18+M17</f>
        <v>2162</v>
      </c>
      <c r="N18" s="33">
        <f>E19-'R. Idriche (letture) '!$E18</f>
        <v>12636</v>
      </c>
      <c r="O18" s="33">
        <f t="shared" ref="O18:O100" si="6">N18+O17</f>
        <v>24614</v>
      </c>
      <c r="P18" s="34">
        <f>F19-'R. Idriche (letture) '!$F18</f>
        <v>54</v>
      </c>
      <c r="Q18" s="34">
        <f t="shared" ref="Q18:Q100" si="7">P18+Q17</f>
        <v>107</v>
      </c>
    </row>
    <row r="19" spans="1:17" x14ac:dyDescent="0.25">
      <c r="A19" s="30">
        <v>45351</v>
      </c>
      <c r="B19" s="2" t="s">
        <v>134</v>
      </c>
      <c r="C19" s="7">
        <v>2412128</v>
      </c>
      <c r="D19" s="7">
        <v>883830</v>
      </c>
      <c r="E19" s="7">
        <v>2638861</v>
      </c>
      <c r="F19" s="11">
        <v>23678</v>
      </c>
      <c r="G19" s="11"/>
      <c r="H19" s="109">
        <v>45352</v>
      </c>
      <c r="I19" s="110" t="str">
        <f>'R. Idriche (letture) '!$B19</f>
        <v>[m3]</v>
      </c>
      <c r="J19" s="111">
        <f>C20-'R. Idriche (letture) '!$C19</f>
        <v>0</v>
      </c>
      <c r="K19" s="111">
        <f t="shared" si="4"/>
        <v>0</v>
      </c>
      <c r="L19" s="111">
        <f>D20-'R. Idriche (letture) '!$D19</f>
        <v>1321</v>
      </c>
      <c r="M19" s="111">
        <f t="shared" si="5"/>
        <v>3483</v>
      </c>
      <c r="N19" s="111">
        <f>E20-'R. Idriche (letture) '!$E19</f>
        <v>11079</v>
      </c>
      <c r="O19" s="111">
        <f t="shared" si="6"/>
        <v>35693</v>
      </c>
      <c r="P19" s="112">
        <f>F20-'R. Idriche (letture) '!$F19</f>
        <v>55</v>
      </c>
      <c r="Q19" s="112">
        <f t="shared" si="7"/>
        <v>162</v>
      </c>
    </row>
    <row r="20" spans="1:17" x14ac:dyDescent="0.25">
      <c r="A20" s="30">
        <v>45382</v>
      </c>
      <c r="B20" s="2" t="s">
        <v>134</v>
      </c>
      <c r="C20" s="7">
        <v>2412128</v>
      </c>
      <c r="D20" s="7">
        <v>885151</v>
      </c>
      <c r="E20" s="7">
        <v>2649940</v>
      </c>
      <c r="F20" s="11">
        <v>23733</v>
      </c>
      <c r="G20" s="11"/>
      <c r="H20" s="31">
        <v>45383</v>
      </c>
      <c r="I20" s="32" t="str">
        <f>'R. Idriche (letture) '!$B20</f>
        <v>[m3]</v>
      </c>
      <c r="J20" s="33">
        <f>C21-'R. Idriche (letture) '!$C20</f>
        <v>0</v>
      </c>
      <c r="K20" s="33">
        <f t="shared" si="4"/>
        <v>0</v>
      </c>
      <c r="L20" s="33">
        <f>D21-'R. Idriche (letture) '!$D20</f>
        <v>998</v>
      </c>
      <c r="M20" s="33">
        <f t="shared" si="5"/>
        <v>4481</v>
      </c>
      <c r="N20" s="33">
        <f>E21-'R. Idriche (letture) '!$E20</f>
        <v>3703</v>
      </c>
      <c r="O20" s="33">
        <f t="shared" si="6"/>
        <v>39396</v>
      </c>
      <c r="P20" s="34">
        <f>F21-'R. Idriche (letture) '!$F20</f>
        <v>39</v>
      </c>
      <c r="Q20" s="34">
        <f t="shared" si="7"/>
        <v>201</v>
      </c>
    </row>
    <row r="21" spans="1:17" ht="15.75" customHeight="1" x14ac:dyDescent="0.25">
      <c r="A21" s="30">
        <v>45412</v>
      </c>
      <c r="B21" s="2" t="s">
        <v>134</v>
      </c>
      <c r="C21" s="7">
        <v>2412128</v>
      </c>
      <c r="D21" s="7">
        <v>886149</v>
      </c>
      <c r="E21" s="7">
        <v>2653643</v>
      </c>
      <c r="F21" s="11">
        <v>23772</v>
      </c>
      <c r="G21" s="11"/>
      <c r="H21" s="109">
        <v>45413</v>
      </c>
      <c r="I21" s="110" t="str">
        <f>'R. Idriche (letture) '!$B21</f>
        <v>[m3]</v>
      </c>
      <c r="J21" s="111">
        <f>C22-'R. Idriche (letture) '!$C21</f>
        <v>0</v>
      </c>
      <c r="K21" s="111">
        <f t="shared" si="4"/>
        <v>0</v>
      </c>
      <c r="L21" s="111">
        <f>D22-'R. Idriche (letture) '!$D21</f>
        <v>1424</v>
      </c>
      <c r="M21" s="111">
        <f t="shared" si="5"/>
        <v>5905</v>
      </c>
      <c r="N21" s="111">
        <f>E22-'R. Idriche (letture) '!$E21</f>
        <v>19572</v>
      </c>
      <c r="O21" s="111">
        <f t="shared" si="6"/>
        <v>58968</v>
      </c>
      <c r="P21" s="112">
        <f>F22-'R. Idriche (letture) '!$F21</f>
        <v>70</v>
      </c>
      <c r="Q21" s="112">
        <f t="shared" si="7"/>
        <v>271</v>
      </c>
    </row>
    <row r="22" spans="1:17" ht="15.75" customHeight="1" x14ac:dyDescent="0.25">
      <c r="A22" s="30">
        <v>45443</v>
      </c>
      <c r="B22" s="2" t="s">
        <v>134</v>
      </c>
      <c r="C22" s="7">
        <v>2412128</v>
      </c>
      <c r="D22" s="7">
        <v>887573</v>
      </c>
      <c r="E22" s="7">
        <v>2673215</v>
      </c>
      <c r="F22" s="11">
        <v>23842</v>
      </c>
      <c r="G22" s="11"/>
      <c r="H22" s="31">
        <v>45444</v>
      </c>
      <c r="I22" s="32" t="str">
        <f>'R. Idriche (letture) '!$B22</f>
        <v>[m3]</v>
      </c>
      <c r="J22" s="33">
        <f>C23-'R. Idriche (letture) '!$C22</f>
        <v>0</v>
      </c>
      <c r="K22" s="33">
        <f t="shared" si="4"/>
        <v>0</v>
      </c>
      <c r="L22" s="33">
        <f>D23-'R. Idriche (letture) '!$D22</f>
        <v>1125</v>
      </c>
      <c r="M22" s="33">
        <f t="shared" si="5"/>
        <v>7030</v>
      </c>
      <c r="N22" s="33">
        <f>E23-'R. Idriche (letture) '!$E22</f>
        <v>13343</v>
      </c>
      <c r="O22" s="33">
        <f t="shared" si="6"/>
        <v>72311</v>
      </c>
      <c r="P22" s="34">
        <f>F23-'R. Idriche (letture) '!$F22</f>
        <v>60</v>
      </c>
      <c r="Q22" s="34">
        <f t="shared" si="7"/>
        <v>331</v>
      </c>
    </row>
    <row r="23" spans="1:17" ht="15.75" customHeight="1" x14ac:dyDescent="0.25">
      <c r="A23" s="30">
        <v>45473</v>
      </c>
      <c r="B23" s="2" t="s">
        <v>134</v>
      </c>
      <c r="C23" s="7">
        <v>2412128</v>
      </c>
      <c r="D23" s="7">
        <v>888698</v>
      </c>
      <c r="E23" s="7">
        <v>2686558</v>
      </c>
      <c r="F23" s="11">
        <v>23902</v>
      </c>
      <c r="G23" s="11"/>
      <c r="H23" s="109">
        <v>45474</v>
      </c>
      <c r="I23" s="110" t="str">
        <f>'R. Idriche (letture) '!$B23</f>
        <v>[m3]</v>
      </c>
      <c r="J23" s="111">
        <f>C24-'R. Idriche (letture) '!$C23</f>
        <v>0</v>
      </c>
      <c r="K23" s="111">
        <f t="shared" si="4"/>
        <v>0</v>
      </c>
      <c r="L23" s="111">
        <f>D24-'R. Idriche (letture) '!$D23</f>
        <v>1240</v>
      </c>
      <c r="M23" s="111">
        <f t="shared" si="5"/>
        <v>8270</v>
      </c>
      <c r="N23" s="111">
        <f>E24-'R. Idriche (letture) '!$E23</f>
        <v>13913</v>
      </c>
      <c r="O23" s="111">
        <f t="shared" si="6"/>
        <v>86224</v>
      </c>
      <c r="P23" s="112">
        <f>F24-'R. Idriche (letture) '!$F23</f>
        <v>127</v>
      </c>
      <c r="Q23" s="112">
        <f t="shared" si="7"/>
        <v>458</v>
      </c>
    </row>
    <row r="24" spans="1:17" ht="15.75" customHeight="1" x14ac:dyDescent="0.25">
      <c r="A24" s="30">
        <v>45504</v>
      </c>
      <c r="B24" s="2" t="s">
        <v>134</v>
      </c>
      <c r="C24" s="7">
        <v>2412128</v>
      </c>
      <c r="D24" s="7">
        <v>889938</v>
      </c>
      <c r="E24" s="7">
        <v>2700471</v>
      </c>
      <c r="F24" s="11">
        <v>24029</v>
      </c>
      <c r="G24" s="11"/>
      <c r="H24" s="31">
        <v>45505</v>
      </c>
      <c r="I24" s="32" t="str">
        <f>'R. Idriche (letture) '!$B24</f>
        <v>[m3]</v>
      </c>
      <c r="J24" s="33">
        <f>C25-'R. Idriche (letture) '!$C24</f>
        <v>0</v>
      </c>
      <c r="K24" s="33">
        <f t="shared" si="4"/>
        <v>0</v>
      </c>
      <c r="L24" s="33">
        <f>D25-'R. Idriche (letture) '!$D24</f>
        <v>0</v>
      </c>
      <c r="M24" s="33">
        <f t="shared" si="5"/>
        <v>8270</v>
      </c>
      <c r="N24" s="33">
        <f>E25-'R. Idriche (letture) '!$E24</f>
        <v>0</v>
      </c>
      <c r="O24" s="33">
        <f t="shared" si="6"/>
        <v>86224</v>
      </c>
      <c r="P24" s="34">
        <f>F25-'R. Idriche (letture) '!$F24</f>
        <v>0</v>
      </c>
      <c r="Q24" s="34">
        <f t="shared" si="7"/>
        <v>458</v>
      </c>
    </row>
    <row r="25" spans="1:17" ht="15.75" customHeight="1" x14ac:dyDescent="0.25">
      <c r="A25" s="30">
        <v>45535</v>
      </c>
      <c r="B25" s="2" t="s">
        <v>134</v>
      </c>
      <c r="C25" s="7">
        <v>2412128</v>
      </c>
      <c r="D25" s="7">
        <v>889938</v>
      </c>
      <c r="E25" s="7">
        <v>2700471</v>
      </c>
      <c r="F25" s="11">
        <v>24029</v>
      </c>
      <c r="G25" s="11"/>
      <c r="H25" s="109">
        <v>45536</v>
      </c>
      <c r="I25" s="110" t="str">
        <f>'R. Idriche (letture) '!$B25</f>
        <v>[m3]</v>
      </c>
      <c r="J25" s="111">
        <f>C26-'R. Idriche (letture) '!$C25</f>
        <v>0</v>
      </c>
      <c r="K25" s="111">
        <f t="shared" si="4"/>
        <v>0</v>
      </c>
      <c r="L25" s="111">
        <f>D26-'R. Idriche (letture) '!$D25</f>
        <v>517</v>
      </c>
      <c r="M25" s="111">
        <f t="shared" si="5"/>
        <v>8787</v>
      </c>
      <c r="N25" s="111">
        <f>E26-'R. Idriche (letture) '!$E25</f>
        <v>7196</v>
      </c>
      <c r="O25" s="111">
        <f t="shared" si="6"/>
        <v>93420</v>
      </c>
      <c r="P25" s="112">
        <f>F26-'R. Idriche (letture) '!$F25</f>
        <v>80</v>
      </c>
      <c r="Q25" s="112">
        <f t="shared" si="7"/>
        <v>538</v>
      </c>
    </row>
    <row r="26" spans="1:17" ht="15.75" customHeight="1" x14ac:dyDescent="0.25">
      <c r="A26" s="30">
        <v>45565</v>
      </c>
      <c r="B26" s="2" t="s">
        <v>134</v>
      </c>
      <c r="C26" s="7">
        <v>2412128</v>
      </c>
      <c r="D26" s="7">
        <v>890455</v>
      </c>
      <c r="E26" s="7">
        <v>2707667</v>
      </c>
      <c r="F26" s="11">
        <v>24109</v>
      </c>
      <c r="G26" s="11"/>
      <c r="H26" s="31">
        <v>45566</v>
      </c>
      <c r="I26" s="32" t="str">
        <f>'R. Idriche (letture) '!$B26</f>
        <v>[m3]</v>
      </c>
      <c r="J26" s="33">
        <f>C27-'R. Idriche (letture) '!$C26</f>
        <v>0</v>
      </c>
      <c r="K26" s="33">
        <f t="shared" si="4"/>
        <v>0</v>
      </c>
      <c r="L26" s="33">
        <f>D27-'R. Idriche (letture) '!$D26</f>
        <v>1821</v>
      </c>
      <c r="M26" s="33">
        <f t="shared" si="5"/>
        <v>10608</v>
      </c>
      <c r="N26" s="33">
        <f>E27-'R. Idriche (letture) '!$E26</f>
        <v>21147</v>
      </c>
      <c r="O26" s="33">
        <f t="shared" si="6"/>
        <v>114567</v>
      </c>
      <c r="P26" s="34">
        <f>F27-'R. Idriche (letture) '!$F26</f>
        <v>59</v>
      </c>
      <c r="Q26" s="34">
        <f t="shared" si="7"/>
        <v>597</v>
      </c>
    </row>
    <row r="27" spans="1:17" ht="15.75" customHeight="1" x14ac:dyDescent="0.25">
      <c r="A27" s="30">
        <v>45596</v>
      </c>
      <c r="B27" s="2" t="s">
        <v>134</v>
      </c>
      <c r="C27" s="7">
        <v>2412128</v>
      </c>
      <c r="D27" s="7">
        <v>892276</v>
      </c>
      <c r="E27" s="7">
        <v>2728814</v>
      </c>
      <c r="F27" s="11">
        <v>24168</v>
      </c>
      <c r="G27" s="11"/>
      <c r="H27" s="109">
        <v>45597</v>
      </c>
      <c r="I27" s="110" t="str">
        <f>'R. Idriche (letture) '!$B27</f>
        <v>[m3]</v>
      </c>
      <c r="J27" s="111">
        <f>C28-'R. Idriche (letture) '!$C27</f>
        <v>0</v>
      </c>
      <c r="K27" s="111">
        <f t="shared" si="4"/>
        <v>0</v>
      </c>
      <c r="L27" s="111">
        <f>D28-'R. Idriche (letture) '!$D27</f>
        <v>1002</v>
      </c>
      <c r="M27" s="111">
        <f t="shared" si="5"/>
        <v>11610</v>
      </c>
      <c r="N27" s="111">
        <f>E28-'R. Idriche (letture) '!$E27</f>
        <v>11989</v>
      </c>
      <c r="O27" s="111">
        <f t="shared" si="6"/>
        <v>126556</v>
      </c>
      <c r="P27" s="112">
        <f>F28-'R. Idriche (letture) '!$F27</f>
        <v>58</v>
      </c>
      <c r="Q27" s="112">
        <f t="shared" si="7"/>
        <v>655</v>
      </c>
    </row>
    <row r="28" spans="1:17" ht="15.75" customHeight="1" x14ac:dyDescent="0.25">
      <c r="A28" s="30">
        <v>45626</v>
      </c>
      <c r="B28" s="2" t="s">
        <v>134</v>
      </c>
      <c r="C28" s="7">
        <v>2412128</v>
      </c>
      <c r="D28" s="7">
        <v>893278</v>
      </c>
      <c r="E28" s="7">
        <v>2740803</v>
      </c>
      <c r="F28" s="11">
        <v>24226</v>
      </c>
      <c r="G28" s="11"/>
      <c r="H28" s="119">
        <v>45627</v>
      </c>
      <c r="I28" s="120" t="str">
        <f>'R. Idriche (letture) '!$B28</f>
        <v>[m3]</v>
      </c>
      <c r="J28" s="115">
        <f>C29-'R. Idriche (letture) '!$C28</f>
        <v>0</v>
      </c>
      <c r="K28" s="116">
        <f t="shared" si="4"/>
        <v>0</v>
      </c>
      <c r="L28" s="115">
        <f>D29-'R. Idriche (letture) '!$D28</f>
        <v>666</v>
      </c>
      <c r="M28" s="116">
        <f t="shared" si="5"/>
        <v>12276</v>
      </c>
      <c r="N28" s="115">
        <f>E29-'R. Idriche (letture) '!$E28</f>
        <v>8578</v>
      </c>
      <c r="O28" s="116">
        <f t="shared" si="6"/>
        <v>135134</v>
      </c>
      <c r="P28" s="117">
        <f>F29-'R. Idriche (letture) '!$F28</f>
        <v>51</v>
      </c>
      <c r="Q28" s="118">
        <f t="shared" si="7"/>
        <v>706</v>
      </c>
    </row>
    <row r="29" spans="1:17" ht="15.75" customHeight="1" x14ac:dyDescent="0.25">
      <c r="A29" s="30">
        <v>45657</v>
      </c>
      <c r="B29" s="2" t="s">
        <v>134</v>
      </c>
      <c r="C29" s="156">
        <v>2412128</v>
      </c>
      <c r="D29" s="156">
        <v>893944</v>
      </c>
      <c r="E29" s="156">
        <v>2749381</v>
      </c>
      <c r="F29" s="157">
        <v>24277</v>
      </c>
      <c r="G29" s="11"/>
      <c r="H29" s="109">
        <v>45658</v>
      </c>
      <c r="I29" s="110" t="str">
        <f>'R. Idriche (letture) '!$B29</f>
        <v>[m3]</v>
      </c>
      <c r="J29" s="111">
        <v>0</v>
      </c>
      <c r="K29" s="111">
        <f t="shared" si="4"/>
        <v>0</v>
      </c>
      <c r="L29" s="111">
        <v>0</v>
      </c>
      <c r="M29" s="111">
        <f t="shared" si="5"/>
        <v>12276</v>
      </c>
      <c r="N29" s="111">
        <v>0</v>
      </c>
      <c r="O29" s="111">
        <f t="shared" si="6"/>
        <v>135134</v>
      </c>
      <c r="P29" s="112">
        <v>0</v>
      </c>
      <c r="Q29" s="112">
        <f t="shared" si="7"/>
        <v>706</v>
      </c>
    </row>
    <row r="30" spans="1:17" ht="15.75" customHeight="1" x14ac:dyDescent="0.25">
      <c r="A30" s="30">
        <v>45688</v>
      </c>
      <c r="B30" s="2" t="s">
        <v>134</v>
      </c>
      <c r="C30" s="7"/>
      <c r="D30" s="7"/>
      <c r="E30" s="7"/>
      <c r="F30" s="11"/>
      <c r="G30" s="2"/>
      <c r="H30" s="35">
        <v>45689</v>
      </c>
      <c r="I30" s="36" t="str">
        <f>'R. Idriche (letture) '!$B30</f>
        <v>[m3]</v>
      </c>
      <c r="J30" s="33">
        <f>C31-'R. Idriche (letture) '!$C30</f>
        <v>0</v>
      </c>
      <c r="K30" s="33">
        <f t="shared" si="4"/>
        <v>0</v>
      </c>
      <c r="L30" s="33">
        <f>D31-'R. Idriche (letture) '!$D30</f>
        <v>0</v>
      </c>
      <c r="M30" s="33">
        <f t="shared" si="5"/>
        <v>12276</v>
      </c>
      <c r="N30" s="33">
        <f>E31-'R. Idriche (letture) '!$E30</f>
        <v>0</v>
      </c>
      <c r="O30" s="33">
        <f t="shared" si="6"/>
        <v>135134</v>
      </c>
      <c r="P30" s="34">
        <f>F31-'R. Idriche (letture) '!$F30</f>
        <v>0</v>
      </c>
      <c r="Q30" s="34">
        <f t="shared" si="7"/>
        <v>706</v>
      </c>
    </row>
    <row r="31" spans="1:17" ht="15.75" customHeight="1" x14ac:dyDescent="0.25">
      <c r="A31" s="30">
        <v>45716</v>
      </c>
      <c r="B31" s="2" t="s">
        <v>134</v>
      </c>
      <c r="C31" s="7"/>
      <c r="D31" s="7"/>
      <c r="E31" s="7"/>
      <c r="F31" s="11"/>
      <c r="G31" s="2"/>
      <c r="H31" s="109">
        <v>45717</v>
      </c>
      <c r="I31" s="110" t="str">
        <f>'R. Idriche (letture) '!$B31</f>
        <v>[m3]</v>
      </c>
      <c r="J31" s="111">
        <f>C32-'R. Idriche (letture) '!$C31</f>
        <v>0</v>
      </c>
      <c r="K31" s="111">
        <f t="shared" si="4"/>
        <v>0</v>
      </c>
      <c r="L31" s="111">
        <f>D32-'R. Idriche (letture) '!$D31</f>
        <v>0</v>
      </c>
      <c r="M31" s="111">
        <f t="shared" si="5"/>
        <v>12276</v>
      </c>
      <c r="N31" s="111">
        <f>E32-'R. Idriche (letture) '!$E31</f>
        <v>0</v>
      </c>
      <c r="O31" s="111">
        <f t="shared" si="6"/>
        <v>135134</v>
      </c>
      <c r="P31" s="112">
        <f>F32-'R. Idriche (letture) '!$F31</f>
        <v>0</v>
      </c>
      <c r="Q31" s="112">
        <f t="shared" si="7"/>
        <v>706</v>
      </c>
    </row>
    <row r="32" spans="1:17" ht="15.75" customHeight="1" x14ac:dyDescent="0.25">
      <c r="A32" s="30">
        <v>45747</v>
      </c>
      <c r="B32" s="2" t="s">
        <v>134</v>
      </c>
      <c r="C32" s="7"/>
      <c r="D32" s="7"/>
      <c r="E32" s="7"/>
      <c r="F32" s="11"/>
      <c r="G32" s="2"/>
      <c r="H32" s="35">
        <v>45748</v>
      </c>
      <c r="I32" s="36" t="str">
        <f>'R. Idriche (letture) '!$B32</f>
        <v>[m3]</v>
      </c>
      <c r="J32" s="33">
        <f>C33-'R. Idriche (letture) '!$C32</f>
        <v>0</v>
      </c>
      <c r="K32" s="33">
        <f t="shared" si="4"/>
        <v>0</v>
      </c>
      <c r="L32" s="33">
        <f>D33-'R. Idriche (letture) '!$D32</f>
        <v>0</v>
      </c>
      <c r="M32" s="33">
        <f t="shared" si="5"/>
        <v>12276</v>
      </c>
      <c r="N32" s="33">
        <f>E33-'R. Idriche (letture) '!$E32</f>
        <v>0</v>
      </c>
      <c r="O32" s="33">
        <f t="shared" si="6"/>
        <v>135134</v>
      </c>
      <c r="P32" s="34">
        <f>F33-'R. Idriche (letture) '!$F32</f>
        <v>0</v>
      </c>
      <c r="Q32" s="34">
        <f t="shared" si="7"/>
        <v>706</v>
      </c>
    </row>
    <row r="33" spans="1:17" ht="15.75" customHeight="1" x14ac:dyDescent="0.25">
      <c r="A33" s="30">
        <v>45777</v>
      </c>
      <c r="B33" s="2" t="s">
        <v>134</v>
      </c>
      <c r="C33" s="7"/>
      <c r="D33" s="7"/>
      <c r="E33" s="7"/>
      <c r="F33" s="11"/>
      <c r="G33" s="2"/>
      <c r="H33" s="109">
        <v>45778</v>
      </c>
      <c r="I33" s="110" t="str">
        <f>'R. Idriche (letture) '!$B33</f>
        <v>[m3]</v>
      </c>
      <c r="J33" s="111">
        <f>C34-'R. Idriche (letture) '!$C33</f>
        <v>0</v>
      </c>
      <c r="K33" s="111">
        <f t="shared" si="4"/>
        <v>0</v>
      </c>
      <c r="L33" s="111">
        <f>D34-'R. Idriche (letture) '!$D33</f>
        <v>0</v>
      </c>
      <c r="M33" s="111">
        <f t="shared" si="5"/>
        <v>12276</v>
      </c>
      <c r="N33" s="111">
        <f>E34-'R. Idriche (letture) '!$E33</f>
        <v>0</v>
      </c>
      <c r="O33" s="111">
        <f t="shared" si="6"/>
        <v>135134</v>
      </c>
      <c r="P33" s="112">
        <f>F34-'R. Idriche (letture) '!$F33</f>
        <v>0</v>
      </c>
      <c r="Q33" s="112">
        <f t="shared" si="7"/>
        <v>706</v>
      </c>
    </row>
    <row r="34" spans="1:17" ht="15.75" customHeight="1" x14ac:dyDescent="0.25">
      <c r="A34" s="30">
        <v>45808</v>
      </c>
      <c r="B34" s="2" t="s">
        <v>134</v>
      </c>
      <c r="C34" s="7"/>
      <c r="D34" s="7"/>
      <c r="E34" s="7"/>
      <c r="F34" s="11"/>
      <c r="G34" s="2"/>
      <c r="H34" s="35">
        <v>45809</v>
      </c>
      <c r="I34" s="36" t="str">
        <f>'R. Idriche (letture) '!$B34</f>
        <v>[m3]</v>
      </c>
      <c r="J34" s="33">
        <f>C35-'R. Idriche (letture) '!$C34</f>
        <v>0</v>
      </c>
      <c r="K34" s="33">
        <f t="shared" si="4"/>
        <v>0</v>
      </c>
      <c r="L34" s="33">
        <f>D35-'R. Idriche (letture) '!$D34</f>
        <v>0</v>
      </c>
      <c r="M34" s="33">
        <f t="shared" si="5"/>
        <v>12276</v>
      </c>
      <c r="N34" s="33">
        <f>E35-'R. Idriche (letture) '!$E34</f>
        <v>0</v>
      </c>
      <c r="O34" s="33">
        <f t="shared" si="6"/>
        <v>135134</v>
      </c>
      <c r="P34" s="34">
        <f>F35-'R. Idriche (letture) '!$F34</f>
        <v>0</v>
      </c>
      <c r="Q34" s="34">
        <f t="shared" si="7"/>
        <v>706</v>
      </c>
    </row>
    <row r="35" spans="1:17" ht="15.75" customHeight="1" x14ac:dyDescent="0.25">
      <c r="A35" s="30">
        <v>45838</v>
      </c>
      <c r="B35" s="2" t="s">
        <v>134</v>
      </c>
      <c r="C35" s="7"/>
      <c r="D35" s="7"/>
      <c r="E35" s="7"/>
      <c r="F35" s="11"/>
      <c r="G35" s="2"/>
      <c r="H35" s="109">
        <v>45839</v>
      </c>
      <c r="I35" s="110" t="str">
        <f>'R. Idriche (letture) '!$B35</f>
        <v>[m3]</v>
      </c>
      <c r="J35" s="111">
        <f>C36-'R. Idriche (letture) '!$C35</f>
        <v>0</v>
      </c>
      <c r="K35" s="111">
        <f t="shared" si="4"/>
        <v>0</v>
      </c>
      <c r="L35" s="111">
        <f>D36-'R. Idriche (letture) '!$D35</f>
        <v>0</v>
      </c>
      <c r="M35" s="111">
        <f t="shared" si="5"/>
        <v>12276</v>
      </c>
      <c r="N35" s="111">
        <f>E36-'R. Idriche (letture) '!$E35</f>
        <v>0</v>
      </c>
      <c r="O35" s="111">
        <f t="shared" si="6"/>
        <v>135134</v>
      </c>
      <c r="P35" s="112">
        <f>F36-'R. Idriche (letture) '!$F35</f>
        <v>0</v>
      </c>
      <c r="Q35" s="112">
        <f t="shared" si="7"/>
        <v>706</v>
      </c>
    </row>
    <row r="36" spans="1:17" ht="15.75" customHeight="1" x14ac:dyDescent="0.25">
      <c r="A36" s="30">
        <v>45869</v>
      </c>
      <c r="B36" s="2" t="s">
        <v>134</v>
      </c>
      <c r="C36" s="7"/>
      <c r="D36" s="7"/>
      <c r="E36" s="7"/>
      <c r="F36" s="11"/>
      <c r="G36" s="2"/>
      <c r="H36" s="35">
        <v>45870</v>
      </c>
      <c r="I36" s="36" t="str">
        <f>'R. Idriche (letture) '!$B36</f>
        <v>[m3]</v>
      </c>
      <c r="J36" s="33">
        <f>C37-'R. Idriche (letture) '!$C36</f>
        <v>0</v>
      </c>
      <c r="K36" s="33">
        <f t="shared" si="4"/>
        <v>0</v>
      </c>
      <c r="L36" s="33">
        <f>D37-'R. Idriche (letture) '!$D36</f>
        <v>0</v>
      </c>
      <c r="M36" s="33">
        <f t="shared" si="5"/>
        <v>12276</v>
      </c>
      <c r="N36" s="33">
        <f>E37-'R. Idriche (letture) '!$E36</f>
        <v>0</v>
      </c>
      <c r="O36" s="33">
        <f t="shared" si="6"/>
        <v>135134</v>
      </c>
      <c r="P36" s="34">
        <f>F37-'R. Idriche (letture) '!$F36</f>
        <v>0</v>
      </c>
      <c r="Q36" s="34">
        <f t="shared" si="7"/>
        <v>706</v>
      </c>
    </row>
    <row r="37" spans="1:17" ht="15.75" customHeight="1" x14ac:dyDescent="0.25">
      <c r="A37" s="30">
        <v>45900</v>
      </c>
      <c r="B37" s="2" t="s">
        <v>134</v>
      </c>
      <c r="C37" s="7"/>
      <c r="D37" s="7"/>
      <c r="E37" s="7"/>
      <c r="F37" s="11"/>
      <c r="G37" s="2"/>
      <c r="H37" s="109">
        <v>45901</v>
      </c>
      <c r="I37" s="110" t="str">
        <f>'R. Idriche (letture) '!$B37</f>
        <v>[m3]</v>
      </c>
      <c r="J37" s="111">
        <f>C38-'R. Idriche (letture) '!$C37</f>
        <v>0</v>
      </c>
      <c r="K37" s="111">
        <f t="shared" si="4"/>
        <v>0</v>
      </c>
      <c r="L37" s="111">
        <f>D38-'R. Idriche (letture) '!$D37</f>
        <v>0</v>
      </c>
      <c r="M37" s="111">
        <f t="shared" si="5"/>
        <v>12276</v>
      </c>
      <c r="N37" s="111">
        <f>E38-'R. Idriche (letture) '!$E37</f>
        <v>0</v>
      </c>
      <c r="O37" s="111">
        <f t="shared" si="6"/>
        <v>135134</v>
      </c>
      <c r="P37" s="112">
        <f>F38-'R. Idriche (letture) '!$F37</f>
        <v>0</v>
      </c>
      <c r="Q37" s="112">
        <f t="shared" si="7"/>
        <v>706</v>
      </c>
    </row>
    <row r="38" spans="1:17" ht="15.75" customHeight="1" x14ac:dyDescent="0.25">
      <c r="A38" s="30">
        <v>45930</v>
      </c>
      <c r="B38" s="2" t="s">
        <v>134</v>
      </c>
      <c r="C38" s="7"/>
      <c r="D38" s="7"/>
      <c r="E38" s="7"/>
      <c r="F38" s="11"/>
      <c r="G38" s="2"/>
      <c r="H38" s="35">
        <v>45931</v>
      </c>
      <c r="I38" s="36" t="str">
        <f>'R. Idriche (letture) '!$B38</f>
        <v>[m3]</v>
      </c>
      <c r="J38" s="33">
        <f>C39-'R. Idriche (letture) '!$C38</f>
        <v>0</v>
      </c>
      <c r="K38" s="33">
        <f t="shared" si="4"/>
        <v>0</v>
      </c>
      <c r="L38" s="33">
        <f>D39-'R. Idriche (letture) '!$D38</f>
        <v>0</v>
      </c>
      <c r="M38" s="33">
        <f t="shared" si="5"/>
        <v>12276</v>
      </c>
      <c r="N38" s="33">
        <f>E39-'R. Idriche (letture) '!$E38</f>
        <v>0</v>
      </c>
      <c r="O38" s="33">
        <f t="shared" si="6"/>
        <v>135134</v>
      </c>
      <c r="P38" s="34">
        <f>F39-'R. Idriche (letture) '!$F38</f>
        <v>0</v>
      </c>
      <c r="Q38" s="34">
        <f t="shared" si="7"/>
        <v>706</v>
      </c>
    </row>
    <row r="39" spans="1:17" ht="15.75" customHeight="1" x14ac:dyDescent="0.25">
      <c r="A39" s="30">
        <v>45961</v>
      </c>
      <c r="B39" s="2" t="s">
        <v>134</v>
      </c>
      <c r="C39" s="7"/>
      <c r="D39" s="7"/>
      <c r="E39" s="7"/>
      <c r="F39" s="11"/>
      <c r="G39" s="2"/>
      <c r="H39" s="109">
        <v>45962</v>
      </c>
      <c r="I39" s="110" t="str">
        <f>'R. Idriche (letture) '!$B39</f>
        <v>[m3]</v>
      </c>
      <c r="J39" s="111">
        <f>C40-'R. Idriche (letture) '!$C39</f>
        <v>0</v>
      </c>
      <c r="K39" s="111">
        <f t="shared" si="4"/>
        <v>0</v>
      </c>
      <c r="L39" s="111">
        <f>D40-'R. Idriche (letture) '!$D39</f>
        <v>0</v>
      </c>
      <c r="M39" s="111">
        <f t="shared" si="5"/>
        <v>12276</v>
      </c>
      <c r="N39" s="111">
        <f>E40-'R. Idriche (letture) '!$E39</f>
        <v>0</v>
      </c>
      <c r="O39" s="111">
        <f t="shared" si="6"/>
        <v>135134</v>
      </c>
      <c r="P39" s="112">
        <f>F40-'R. Idriche (letture) '!$F39</f>
        <v>0</v>
      </c>
      <c r="Q39" s="112">
        <f t="shared" si="7"/>
        <v>706</v>
      </c>
    </row>
    <row r="40" spans="1:17" ht="15.75" customHeight="1" x14ac:dyDescent="0.25">
      <c r="A40" s="30">
        <v>45991</v>
      </c>
      <c r="B40" s="2" t="s">
        <v>134</v>
      </c>
      <c r="C40" s="7"/>
      <c r="D40" s="7"/>
      <c r="E40" s="7"/>
      <c r="F40" s="11"/>
      <c r="G40" s="2"/>
      <c r="H40" s="35">
        <v>45992</v>
      </c>
      <c r="I40" s="36" t="str">
        <f>'R. Idriche (letture) '!$B40</f>
        <v>[m3]</v>
      </c>
      <c r="J40" s="33">
        <f>C41-'R. Idriche (letture) '!$C40</f>
        <v>0</v>
      </c>
      <c r="K40" s="33">
        <f t="shared" si="4"/>
        <v>0</v>
      </c>
      <c r="L40" s="33">
        <f>D41-'R. Idriche (letture) '!$D40</f>
        <v>0</v>
      </c>
      <c r="M40" s="33">
        <f t="shared" si="5"/>
        <v>12276</v>
      </c>
      <c r="N40" s="33">
        <f>E41-'R. Idriche (letture) '!$E40</f>
        <v>0</v>
      </c>
      <c r="O40" s="33">
        <f t="shared" si="6"/>
        <v>135134</v>
      </c>
      <c r="P40" s="34">
        <f>F41-'R. Idriche (letture) '!$F40</f>
        <v>0</v>
      </c>
      <c r="Q40" s="34">
        <f t="shared" si="7"/>
        <v>706</v>
      </c>
    </row>
    <row r="41" spans="1:17" ht="15.75" customHeight="1" x14ac:dyDescent="0.25">
      <c r="A41" s="30">
        <v>46022</v>
      </c>
      <c r="B41" s="2" t="s">
        <v>134</v>
      </c>
      <c r="C41" s="7"/>
      <c r="D41" s="7"/>
      <c r="E41" s="7"/>
      <c r="F41" s="11"/>
      <c r="G41" s="2"/>
      <c r="H41" s="109">
        <v>46023</v>
      </c>
      <c r="I41" s="110" t="str">
        <f>'R. Idriche (letture) '!$B41</f>
        <v>[m3]</v>
      </c>
      <c r="J41" s="111">
        <f>C42-'R. Idriche (letture) '!$C41</f>
        <v>0</v>
      </c>
      <c r="K41" s="111">
        <f t="shared" si="4"/>
        <v>0</v>
      </c>
      <c r="L41" s="111">
        <f>D42-'R. Idriche (letture) '!$D41</f>
        <v>0</v>
      </c>
      <c r="M41" s="111">
        <f t="shared" si="5"/>
        <v>12276</v>
      </c>
      <c r="N41" s="111">
        <f>E42-'R. Idriche (letture) '!$E41</f>
        <v>0</v>
      </c>
      <c r="O41" s="111">
        <f t="shared" si="6"/>
        <v>135134</v>
      </c>
      <c r="P41" s="112">
        <f>F42-'R. Idriche (letture) '!$F41</f>
        <v>0</v>
      </c>
      <c r="Q41" s="112">
        <f t="shared" si="7"/>
        <v>706</v>
      </c>
    </row>
    <row r="42" spans="1:17" ht="15.75" customHeight="1" x14ac:dyDescent="0.25">
      <c r="A42" s="30">
        <v>46053</v>
      </c>
      <c r="B42" s="2" t="s">
        <v>134</v>
      </c>
      <c r="C42" s="7"/>
      <c r="D42" s="7"/>
      <c r="E42" s="7"/>
      <c r="F42" s="11"/>
      <c r="G42" s="2"/>
      <c r="H42" s="35">
        <v>46054</v>
      </c>
      <c r="I42" s="36" t="str">
        <f>'R. Idriche (letture) '!$B42</f>
        <v>[m3]</v>
      </c>
      <c r="J42" s="33">
        <f>C43-'R. Idriche (letture) '!$C42</f>
        <v>0</v>
      </c>
      <c r="K42" s="33">
        <f t="shared" si="4"/>
        <v>0</v>
      </c>
      <c r="L42" s="33">
        <f>D43-'R. Idriche (letture) '!$D42</f>
        <v>0</v>
      </c>
      <c r="M42" s="33">
        <f t="shared" si="5"/>
        <v>12276</v>
      </c>
      <c r="N42" s="33">
        <f>E43-'R. Idriche (letture) '!$E42</f>
        <v>0</v>
      </c>
      <c r="O42" s="33">
        <f t="shared" si="6"/>
        <v>135134</v>
      </c>
      <c r="P42" s="34">
        <f>F43-'R. Idriche (letture) '!$F42</f>
        <v>0</v>
      </c>
      <c r="Q42" s="34">
        <f t="shared" si="7"/>
        <v>706</v>
      </c>
    </row>
    <row r="43" spans="1:17" ht="15.75" customHeight="1" x14ac:dyDescent="0.25">
      <c r="A43" s="30">
        <v>46081</v>
      </c>
      <c r="B43" s="2" t="s">
        <v>134</v>
      </c>
      <c r="C43" s="7"/>
      <c r="D43" s="7"/>
      <c r="E43" s="7"/>
      <c r="F43" s="11"/>
      <c r="G43" s="2"/>
      <c r="H43" s="109">
        <v>46082</v>
      </c>
      <c r="I43" s="110" t="str">
        <f>'R. Idriche (letture) '!$B43</f>
        <v>[m3]</v>
      </c>
      <c r="J43" s="111">
        <f>C44-'R. Idriche (letture) '!$C43</f>
        <v>0</v>
      </c>
      <c r="K43" s="111">
        <f t="shared" si="4"/>
        <v>0</v>
      </c>
      <c r="L43" s="111">
        <f>D44-'R. Idriche (letture) '!$D43</f>
        <v>0</v>
      </c>
      <c r="M43" s="111">
        <f t="shared" si="5"/>
        <v>12276</v>
      </c>
      <c r="N43" s="111">
        <f>E44-'R. Idriche (letture) '!$E43</f>
        <v>0</v>
      </c>
      <c r="O43" s="111">
        <f t="shared" si="6"/>
        <v>135134</v>
      </c>
      <c r="P43" s="112">
        <f>F44-'R. Idriche (letture) '!$F43</f>
        <v>0</v>
      </c>
      <c r="Q43" s="112">
        <f t="shared" si="7"/>
        <v>706</v>
      </c>
    </row>
    <row r="44" spans="1:17" ht="15.75" customHeight="1" x14ac:dyDescent="0.25">
      <c r="A44" s="30">
        <v>46112</v>
      </c>
      <c r="B44" s="2" t="s">
        <v>134</v>
      </c>
      <c r="C44" s="7"/>
      <c r="D44" s="7"/>
      <c r="E44" s="7"/>
      <c r="F44" s="11"/>
      <c r="G44" s="2"/>
      <c r="H44" s="35">
        <v>46113</v>
      </c>
      <c r="I44" s="36" t="str">
        <f>'R. Idriche (letture) '!$B44</f>
        <v>[m3]</v>
      </c>
      <c r="J44" s="33">
        <f>C45-'R. Idriche (letture) '!$C44</f>
        <v>0</v>
      </c>
      <c r="K44" s="33">
        <f t="shared" si="4"/>
        <v>0</v>
      </c>
      <c r="L44" s="33">
        <f>D45-'R. Idriche (letture) '!$D44</f>
        <v>0</v>
      </c>
      <c r="M44" s="33">
        <f t="shared" si="5"/>
        <v>12276</v>
      </c>
      <c r="N44" s="33">
        <f>E45-'R. Idriche (letture) '!$E44</f>
        <v>0</v>
      </c>
      <c r="O44" s="33">
        <f t="shared" si="6"/>
        <v>135134</v>
      </c>
      <c r="P44" s="34">
        <f>F45-'R. Idriche (letture) '!$F44</f>
        <v>0</v>
      </c>
      <c r="Q44" s="34">
        <f t="shared" si="7"/>
        <v>706</v>
      </c>
    </row>
    <row r="45" spans="1:17" ht="15.75" customHeight="1" x14ac:dyDescent="0.25">
      <c r="A45" s="30">
        <v>46142</v>
      </c>
      <c r="B45" s="2" t="s">
        <v>134</v>
      </c>
      <c r="C45" s="7"/>
      <c r="D45" s="7"/>
      <c r="E45" s="7"/>
      <c r="F45" s="11"/>
      <c r="G45" s="2"/>
      <c r="H45" s="109">
        <v>46143</v>
      </c>
      <c r="I45" s="110" t="str">
        <f>'R. Idriche (letture) '!$B45</f>
        <v>[m3]</v>
      </c>
      <c r="J45" s="111">
        <f>C46-'R. Idriche (letture) '!$C45</f>
        <v>0</v>
      </c>
      <c r="K45" s="111">
        <f t="shared" si="4"/>
        <v>0</v>
      </c>
      <c r="L45" s="111">
        <f>D46-'R. Idriche (letture) '!$D45</f>
        <v>0</v>
      </c>
      <c r="M45" s="111">
        <f t="shared" si="5"/>
        <v>12276</v>
      </c>
      <c r="N45" s="111">
        <f>E46-'R. Idriche (letture) '!$E45</f>
        <v>0</v>
      </c>
      <c r="O45" s="111">
        <f t="shared" si="6"/>
        <v>135134</v>
      </c>
      <c r="P45" s="112">
        <f>F46-'R. Idriche (letture) '!$F45</f>
        <v>0</v>
      </c>
      <c r="Q45" s="112">
        <f t="shared" si="7"/>
        <v>706</v>
      </c>
    </row>
    <row r="46" spans="1:17" ht="15.75" customHeight="1" x14ac:dyDescent="0.25">
      <c r="A46" s="30">
        <v>46173</v>
      </c>
      <c r="B46" s="2" t="s">
        <v>134</v>
      </c>
      <c r="C46" s="7"/>
      <c r="D46" s="7"/>
      <c r="E46" s="7"/>
      <c r="F46" s="11"/>
      <c r="G46" s="2"/>
      <c r="H46" s="35">
        <v>46174</v>
      </c>
      <c r="I46" s="36" t="str">
        <f>'R. Idriche (letture) '!$B46</f>
        <v>[m3]</v>
      </c>
      <c r="J46" s="33">
        <f>C47-'R. Idriche (letture) '!$C46</f>
        <v>0</v>
      </c>
      <c r="K46" s="33">
        <f t="shared" si="4"/>
        <v>0</v>
      </c>
      <c r="L46" s="33">
        <f>D47-'R. Idriche (letture) '!$D46</f>
        <v>0</v>
      </c>
      <c r="M46" s="33">
        <f t="shared" si="5"/>
        <v>12276</v>
      </c>
      <c r="N46" s="33">
        <f>E47-'R. Idriche (letture) '!$E46</f>
        <v>0</v>
      </c>
      <c r="O46" s="33">
        <f t="shared" si="6"/>
        <v>135134</v>
      </c>
      <c r="P46" s="34">
        <f>F47-'R. Idriche (letture) '!$F46</f>
        <v>0</v>
      </c>
      <c r="Q46" s="34">
        <f t="shared" si="7"/>
        <v>706</v>
      </c>
    </row>
    <row r="47" spans="1:17" ht="15.75" customHeight="1" x14ac:dyDescent="0.25">
      <c r="A47" s="30">
        <v>46203</v>
      </c>
      <c r="B47" s="2" t="s">
        <v>134</v>
      </c>
      <c r="C47" s="7"/>
      <c r="D47" s="7"/>
      <c r="E47" s="7"/>
      <c r="F47" s="11"/>
      <c r="G47" s="2"/>
      <c r="H47" s="109">
        <v>46204</v>
      </c>
      <c r="I47" s="110" t="str">
        <f>'R. Idriche (letture) '!$B47</f>
        <v>[m3]</v>
      </c>
      <c r="J47" s="111">
        <f>C48-'R. Idriche (letture) '!$C47</f>
        <v>0</v>
      </c>
      <c r="K47" s="111">
        <f t="shared" si="4"/>
        <v>0</v>
      </c>
      <c r="L47" s="111">
        <f>D48-'R. Idriche (letture) '!$D47</f>
        <v>0</v>
      </c>
      <c r="M47" s="111">
        <f t="shared" si="5"/>
        <v>12276</v>
      </c>
      <c r="N47" s="111">
        <f>E48-'R. Idriche (letture) '!$E47</f>
        <v>0</v>
      </c>
      <c r="O47" s="111">
        <f t="shared" si="6"/>
        <v>135134</v>
      </c>
      <c r="P47" s="112">
        <f>F48-'R. Idriche (letture) '!$F47</f>
        <v>0</v>
      </c>
      <c r="Q47" s="112">
        <f t="shared" si="7"/>
        <v>706</v>
      </c>
    </row>
    <row r="48" spans="1:17" ht="15.75" customHeight="1" x14ac:dyDescent="0.25">
      <c r="A48" s="30">
        <v>46234</v>
      </c>
      <c r="B48" s="2" t="s">
        <v>134</v>
      </c>
      <c r="C48" s="7"/>
      <c r="D48" s="7"/>
      <c r="E48" s="7"/>
      <c r="F48" s="11"/>
      <c r="G48" s="2"/>
      <c r="H48" s="35">
        <v>46235</v>
      </c>
      <c r="I48" s="36" t="str">
        <f>'R. Idriche (letture) '!$B48</f>
        <v>[m3]</v>
      </c>
      <c r="J48" s="33">
        <f>C49-'R. Idriche (letture) '!$C48</f>
        <v>0</v>
      </c>
      <c r="K48" s="33">
        <f t="shared" si="4"/>
        <v>0</v>
      </c>
      <c r="L48" s="33">
        <f>D49-'R. Idriche (letture) '!$D48</f>
        <v>0</v>
      </c>
      <c r="M48" s="33">
        <f t="shared" si="5"/>
        <v>12276</v>
      </c>
      <c r="N48" s="33">
        <f>E49-'R. Idriche (letture) '!$E48</f>
        <v>0</v>
      </c>
      <c r="O48" s="33">
        <f t="shared" si="6"/>
        <v>135134</v>
      </c>
      <c r="P48" s="34">
        <f>F49-'R. Idriche (letture) '!$F48</f>
        <v>0</v>
      </c>
      <c r="Q48" s="34">
        <f t="shared" si="7"/>
        <v>706</v>
      </c>
    </row>
    <row r="49" spans="1:17" ht="15.75" customHeight="1" x14ac:dyDescent="0.25">
      <c r="A49" s="30">
        <v>46265</v>
      </c>
      <c r="B49" s="2" t="s">
        <v>134</v>
      </c>
      <c r="C49" s="7"/>
      <c r="D49" s="7"/>
      <c r="E49" s="7"/>
      <c r="F49" s="11"/>
      <c r="G49" s="2"/>
      <c r="H49" s="109">
        <v>46266</v>
      </c>
      <c r="I49" s="110" t="str">
        <f>'R. Idriche (letture) '!$B49</f>
        <v>[m3]</v>
      </c>
      <c r="J49" s="111">
        <f>C50-'R. Idriche (letture) '!$C49</f>
        <v>0</v>
      </c>
      <c r="K49" s="111">
        <f t="shared" si="4"/>
        <v>0</v>
      </c>
      <c r="L49" s="111">
        <f>D50-'R. Idriche (letture) '!$D49</f>
        <v>0</v>
      </c>
      <c r="M49" s="111">
        <f t="shared" si="5"/>
        <v>12276</v>
      </c>
      <c r="N49" s="111">
        <f>E50-'R. Idriche (letture) '!$E49</f>
        <v>0</v>
      </c>
      <c r="O49" s="111">
        <f t="shared" si="6"/>
        <v>135134</v>
      </c>
      <c r="P49" s="112">
        <f>F50-'R. Idriche (letture) '!$F49</f>
        <v>0</v>
      </c>
      <c r="Q49" s="112">
        <f t="shared" si="7"/>
        <v>706</v>
      </c>
    </row>
    <row r="50" spans="1:17" ht="15.75" customHeight="1" x14ac:dyDescent="0.25">
      <c r="A50" s="30">
        <v>46295</v>
      </c>
      <c r="B50" s="2" t="s">
        <v>134</v>
      </c>
      <c r="C50" s="7"/>
      <c r="D50" s="7"/>
      <c r="E50" s="7"/>
      <c r="F50" s="11"/>
      <c r="G50" s="2"/>
      <c r="H50" s="35">
        <v>46296</v>
      </c>
      <c r="I50" s="36" t="str">
        <f>'R. Idriche (letture) '!$B50</f>
        <v>[m3]</v>
      </c>
      <c r="J50" s="33">
        <f>C51-'R. Idriche (letture) '!$C50</f>
        <v>0</v>
      </c>
      <c r="K50" s="33">
        <f t="shared" si="4"/>
        <v>0</v>
      </c>
      <c r="L50" s="33">
        <f>D51-'R. Idriche (letture) '!$D50</f>
        <v>0</v>
      </c>
      <c r="M50" s="33">
        <f t="shared" si="5"/>
        <v>12276</v>
      </c>
      <c r="N50" s="33">
        <f>E51-'R. Idriche (letture) '!$E50</f>
        <v>0</v>
      </c>
      <c r="O50" s="33">
        <f t="shared" si="6"/>
        <v>135134</v>
      </c>
      <c r="P50" s="34">
        <f>F51-'R. Idriche (letture) '!$F50</f>
        <v>0</v>
      </c>
      <c r="Q50" s="34">
        <f t="shared" si="7"/>
        <v>706</v>
      </c>
    </row>
    <row r="51" spans="1:17" ht="15.75" customHeight="1" x14ac:dyDescent="0.25">
      <c r="A51" s="30">
        <v>46326</v>
      </c>
      <c r="B51" s="2" t="s">
        <v>134</v>
      </c>
      <c r="C51" s="7"/>
      <c r="D51" s="7"/>
      <c r="E51" s="7"/>
      <c r="F51" s="11"/>
      <c r="G51" s="2"/>
      <c r="H51" s="109">
        <v>46327</v>
      </c>
      <c r="I51" s="110" t="str">
        <f>'R. Idriche (letture) '!$B51</f>
        <v>[m3]</v>
      </c>
      <c r="J51" s="111">
        <f>C52-'R. Idriche (letture) '!$C51</f>
        <v>0</v>
      </c>
      <c r="K51" s="111">
        <f t="shared" si="4"/>
        <v>0</v>
      </c>
      <c r="L51" s="111">
        <f>D52-'R. Idriche (letture) '!$D51</f>
        <v>0</v>
      </c>
      <c r="M51" s="111">
        <f t="shared" si="5"/>
        <v>12276</v>
      </c>
      <c r="N51" s="111">
        <f>E52-'R. Idriche (letture) '!$E51</f>
        <v>0</v>
      </c>
      <c r="O51" s="111">
        <f t="shared" si="6"/>
        <v>135134</v>
      </c>
      <c r="P51" s="112">
        <f>F52-'R. Idriche (letture) '!$F51</f>
        <v>0</v>
      </c>
      <c r="Q51" s="112">
        <f t="shared" si="7"/>
        <v>706</v>
      </c>
    </row>
    <row r="52" spans="1:17" ht="15.75" customHeight="1" x14ac:dyDescent="0.25">
      <c r="A52" s="30">
        <v>46356</v>
      </c>
      <c r="B52" s="2" t="s">
        <v>134</v>
      </c>
      <c r="C52" s="7"/>
      <c r="D52" s="7"/>
      <c r="E52" s="7"/>
      <c r="F52" s="11"/>
      <c r="G52" s="2"/>
      <c r="H52" s="35">
        <v>46357</v>
      </c>
      <c r="I52" s="36" t="str">
        <f>'R. Idriche (letture) '!$B52</f>
        <v>[m3]</v>
      </c>
      <c r="J52" s="33">
        <f>C53-'R. Idriche (letture) '!$C52</f>
        <v>0</v>
      </c>
      <c r="K52" s="33">
        <f t="shared" si="4"/>
        <v>0</v>
      </c>
      <c r="L52" s="33">
        <f>D53-'R. Idriche (letture) '!$D52</f>
        <v>0</v>
      </c>
      <c r="M52" s="33">
        <f t="shared" si="5"/>
        <v>12276</v>
      </c>
      <c r="N52" s="33">
        <f>E53-'R. Idriche (letture) '!$E52</f>
        <v>0</v>
      </c>
      <c r="O52" s="33">
        <f t="shared" si="6"/>
        <v>135134</v>
      </c>
      <c r="P52" s="34">
        <f>F53-'R. Idriche (letture) '!$F52</f>
        <v>0</v>
      </c>
      <c r="Q52" s="34">
        <f t="shared" si="7"/>
        <v>706</v>
      </c>
    </row>
    <row r="53" spans="1:17" ht="15.75" customHeight="1" x14ac:dyDescent="0.25">
      <c r="A53" s="30">
        <v>46387</v>
      </c>
      <c r="B53" s="2" t="s">
        <v>134</v>
      </c>
      <c r="C53" s="7"/>
      <c r="D53" s="7"/>
      <c r="E53" s="7"/>
      <c r="F53" s="11"/>
      <c r="G53" s="2"/>
      <c r="H53" s="109">
        <v>46388</v>
      </c>
      <c r="I53" s="110" t="str">
        <f>'R. Idriche (letture) '!$B53</f>
        <v>[m3]</v>
      </c>
      <c r="J53" s="111">
        <f>C54-'R. Idriche (letture) '!$C53</f>
        <v>0</v>
      </c>
      <c r="K53" s="111">
        <f t="shared" si="4"/>
        <v>0</v>
      </c>
      <c r="L53" s="111">
        <f>D54-'R. Idriche (letture) '!$D53</f>
        <v>0</v>
      </c>
      <c r="M53" s="111">
        <f t="shared" si="5"/>
        <v>12276</v>
      </c>
      <c r="N53" s="111">
        <f>E54-'R. Idriche (letture) '!$E53</f>
        <v>0</v>
      </c>
      <c r="O53" s="111">
        <f t="shared" si="6"/>
        <v>135134</v>
      </c>
      <c r="P53" s="112">
        <f>F54-'R. Idriche (letture) '!$F53</f>
        <v>0</v>
      </c>
      <c r="Q53" s="112">
        <f t="shared" si="7"/>
        <v>706</v>
      </c>
    </row>
    <row r="54" spans="1:17" ht="15.75" customHeight="1" x14ac:dyDescent="0.25">
      <c r="A54" s="30">
        <v>46418</v>
      </c>
      <c r="B54" s="2" t="s">
        <v>134</v>
      </c>
      <c r="C54" s="7"/>
      <c r="D54" s="7"/>
      <c r="E54" s="7"/>
      <c r="F54" s="11"/>
      <c r="G54" s="2"/>
      <c r="H54" s="35">
        <v>46419</v>
      </c>
      <c r="I54" s="36" t="str">
        <f>'R. Idriche (letture) '!$B54</f>
        <v>[m3]</v>
      </c>
      <c r="J54" s="33">
        <f>C55-'R. Idriche (letture) '!$C54</f>
        <v>0</v>
      </c>
      <c r="K54" s="33">
        <f t="shared" si="4"/>
        <v>0</v>
      </c>
      <c r="L54" s="33">
        <f>D55-'R. Idriche (letture) '!$D54</f>
        <v>0</v>
      </c>
      <c r="M54" s="33">
        <f t="shared" si="5"/>
        <v>12276</v>
      </c>
      <c r="N54" s="33">
        <f>E55-'R. Idriche (letture) '!$E54</f>
        <v>0</v>
      </c>
      <c r="O54" s="33">
        <f t="shared" si="6"/>
        <v>135134</v>
      </c>
      <c r="P54" s="34">
        <f>F55-'R. Idriche (letture) '!$F54</f>
        <v>0</v>
      </c>
      <c r="Q54" s="34">
        <f t="shared" si="7"/>
        <v>706</v>
      </c>
    </row>
    <row r="55" spans="1:17" ht="15.75" customHeight="1" x14ac:dyDescent="0.25">
      <c r="A55" s="30">
        <v>46446</v>
      </c>
      <c r="B55" s="2" t="s">
        <v>134</v>
      </c>
      <c r="C55" s="7"/>
      <c r="D55" s="7"/>
      <c r="E55" s="7"/>
      <c r="F55" s="11"/>
      <c r="G55" s="2"/>
      <c r="H55" s="109">
        <v>46447</v>
      </c>
      <c r="I55" s="110" t="str">
        <f>'R. Idriche (letture) '!$B55</f>
        <v>[m3]</v>
      </c>
      <c r="J55" s="111">
        <f>C56-'R. Idriche (letture) '!$C55</f>
        <v>0</v>
      </c>
      <c r="K55" s="111">
        <f t="shared" si="4"/>
        <v>0</v>
      </c>
      <c r="L55" s="111">
        <f>D56-'R. Idriche (letture) '!$D55</f>
        <v>0</v>
      </c>
      <c r="M55" s="111">
        <f t="shared" si="5"/>
        <v>12276</v>
      </c>
      <c r="N55" s="111">
        <f>E56-'R. Idriche (letture) '!$E55</f>
        <v>0</v>
      </c>
      <c r="O55" s="111">
        <f t="shared" si="6"/>
        <v>135134</v>
      </c>
      <c r="P55" s="112">
        <f>F56-'R. Idriche (letture) '!$F55</f>
        <v>0</v>
      </c>
      <c r="Q55" s="112">
        <f t="shared" si="7"/>
        <v>706</v>
      </c>
    </row>
    <row r="56" spans="1:17" ht="15.75" customHeight="1" x14ac:dyDescent="0.25">
      <c r="A56" s="30">
        <v>46477</v>
      </c>
      <c r="B56" s="2" t="s">
        <v>134</v>
      </c>
      <c r="C56" s="7"/>
      <c r="D56" s="7"/>
      <c r="E56" s="7"/>
      <c r="F56" s="11"/>
      <c r="G56" s="2"/>
      <c r="H56" s="35">
        <v>46478</v>
      </c>
      <c r="I56" s="36" t="str">
        <f>'R. Idriche (letture) '!$B56</f>
        <v>[m3]</v>
      </c>
      <c r="J56" s="33">
        <f>C57-'R. Idriche (letture) '!$C56</f>
        <v>0</v>
      </c>
      <c r="K56" s="33">
        <f t="shared" si="4"/>
        <v>0</v>
      </c>
      <c r="L56" s="33">
        <f>D57-'R. Idriche (letture) '!$D56</f>
        <v>0</v>
      </c>
      <c r="M56" s="33">
        <f t="shared" si="5"/>
        <v>12276</v>
      </c>
      <c r="N56" s="33">
        <f>E57-'R. Idriche (letture) '!$E56</f>
        <v>0</v>
      </c>
      <c r="O56" s="33">
        <f t="shared" si="6"/>
        <v>135134</v>
      </c>
      <c r="P56" s="34">
        <f>F57-'R. Idriche (letture) '!$F56</f>
        <v>0</v>
      </c>
      <c r="Q56" s="34">
        <f t="shared" si="7"/>
        <v>706</v>
      </c>
    </row>
    <row r="57" spans="1:17" ht="15.75" customHeight="1" x14ac:dyDescent="0.25">
      <c r="A57" s="30">
        <v>46507</v>
      </c>
      <c r="B57" s="2" t="s">
        <v>134</v>
      </c>
      <c r="C57" s="7"/>
      <c r="D57" s="7"/>
      <c r="E57" s="7"/>
      <c r="F57" s="11"/>
      <c r="G57" s="2"/>
      <c r="H57" s="109">
        <v>46508</v>
      </c>
      <c r="I57" s="110" t="str">
        <f>'R. Idriche (letture) '!$B57</f>
        <v>[m3]</v>
      </c>
      <c r="J57" s="111">
        <f>C58-'R. Idriche (letture) '!$C57</f>
        <v>0</v>
      </c>
      <c r="K57" s="111">
        <f t="shared" si="4"/>
        <v>0</v>
      </c>
      <c r="L57" s="111">
        <f>D58-'R. Idriche (letture) '!$D57</f>
        <v>0</v>
      </c>
      <c r="M57" s="111">
        <f t="shared" si="5"/>
        <v>12276</v>
      </c>
      <c r="N57" s="111">
        <f>E58-'R. Idriche (letture) '!$E57</f>
        <v>0</v>
      </c>
      <c r="O57" s="111">
        <f t="shared" si="6"/>
        <v>135134</v>
      </c>
      <c r="P57" s="112">
        <f>F58-'R. Idriche (letture) '!$F57</f>
        <v>0</v>
      </c>
      <c r="Q57" s="112">
        <f t="shared" si="7"/>
        <v>706</v>
      </c>
    </row>
    <row r="58" spans="1:17" ht="15.75" customHeight="1" x14ac:dyDescent="0.25">
      <c r="A58" s="30">
        <v>46538</v>
      </c>
      <c r="B58" s="2" t="s">
        <v>134</v>
      </c>
      <c r="C58" s="7"/>
      <c r="D58" s="7"/>
      <c r="E58" s="7"/>
      <c r="F58" s="11"/>
      <c r="G58" s="2"/>
      <c r="H58" s="35">
        <v>46539</v>
      </c>
      <c r="I58" s="36" t="str">
        <f>'R. Idriche (letture) '!$B58</f>
        <v>[m3]</v>
      </c>
      <c r="J58" s="33">
        <f>C59-'R. Idriche (letture) '!$C58</f>
        <v>0</v>
      </c>
      <c r="K58" s="33">
        <f t="shared" si="4"/>
        <v>0</v>
      </c>
      <c r="L58" s="33">
        <f>D59-'R. Idriche (letture) '!$D58</f>
        <v>0</v>
      </c>
      <c r="M58" s="33">
        <f t="shared" si="5"/>
        <v>12276</v>
      </c>
      <c r="N58" s="33">
        <f>E59-'R. Idriche (letture) '!$E58</f>
        <v>0</v>
      </c>
      <c r="O58" s="33">
        <f t="shared" si="6"/>
        <v>135134</v>
      </c>
      <c r="P58" s="34">
        <f>F59-'R. Idriche (letture) '!$F58</f>
        <v>0</v>
      </c>
      <c r="Q58" s="34">
        <f t="shared" si="7"/>
        <v>706</v>
      </c>
    </row>
    <row r="59" spans="1:17" ht="15.75" customHeight="1" x14ac:dyDescent="0.25">
      <c r="A59" s="30">
        <v>46568</v>
      </c>
      <c r="B59" s="2" t="s">
        <v>134</v>
      </c>
      <c r="C59" s="7"/>
      <c r="D59" s="7"/>
      <c r="E59" s="7"/>
      <c r="F59" s="11"/>
      <c r="G59" s="2"/>
      <c r="H59" s="109">
        <v>46569</v>
      </c>
      <c r="I59" s="110" t="str">
        <f>'R. Idriche (letture) '!$B59</f>
        <v>[m3]</v>
      </c>
      <c r="J59" s="111">
        <f>C60-'R. Idriche (letture) '!$C59</f>
        <v>0</v>
      </c>
      <c r="K59" s="111">
        <f t="shared" si="4"/>
        <v>0</v>
      </c>
      <c r="L59" s="111">
        <f>D60-'R. Idriche (letture) '!$D59</f>
        <v>0</v>
      </c>
      <c r="M59" s="111">
        <f t="shared" si="5"/>
        <v>12276</v>
      </c>
      <c r="N59" s="111">
        <f>E60-'R. Idriche (letture) '!$E59</f>
        <v>0</v>
      </c>
      <c r="O59" s="111">
        <f t="shared" si="6"/>
        <v>135134</v>
      </c>
      <c r="P59" s="112">
        <f>F60-'R. Idriche (letture) '!$F59</f>
        <v>0</v>
      </c>
      <c r="Q59" s="112">
        <f t="shared" si="7"/>
        <v>706</v>
      </c>
    </row>
    <row r="60" spans="1:17" ht="15.75" customHeight="1" x14ac:dyDescent="0.25">
      <c r="A60" s="30">
        <v>46599</v>
      </c>
      <c r="B60" s="2" t="s">
        <v>134</v>
      </c>
      <c r="C60" s="7"/>
      <c r="D60" s="7"/>
      <c r="E60" s="7"/>
      <c r="F60" s="11"/>
      <c r="G60" s="2"/>
      <c r="H60" s="35">
        <v>46600</v>
      </c>
      <c r="I60" s="36" t="str">
        <f>'R. Idriche (letture) '!$B60</f>
        <v>[m3]</v>
      </c>
      <c r="J60" s="33">
        <f>C61-'R. Idriche (letture) '!$C60</f>
        <v>0</v>
      </c>
      <c r="K60" s="33">
        <f t="shared" si="4"/>
        <v>0</v>
      </c>
      <c r="L60" s="33">
        <f>D61-'R. Idriche (letture) '!$D60</f>
        <v>0</v>
      </c>
      <c r="M60" s="33">
        <f t="shared" si="5"/>
        <v>12276</v>
      </c>
      <c r="N60" s="33">
        <f>E61-'R. Idriche (letture) '!$E60</f>
        <v>0</v>
      </c>
      <c r="O60" s="33">
        <f t="shared" si="6"/>
        <v>135134</v>
      </c>
      <c r="P60" s="34">
        <f>F61-'R. Idriche (letture) '!$F60</f>
        <v>0</v>
      </c>
      <c r="Q60" s="34">
        <f t="shared" si="7"/>
        <v>706</v>
      </c>
    </row>
    <row r="61" spans="1:17" ht="15.75" customHeight="1" x14ac:dyDescent="0.25">
      <c r="A61" s="30">
        <v>46630</v>
      </c>
      <c r="B61" s="2" t="s">
        <v>134</v>
      </c>
      <c r="C61" s="7"/>
      <c r="D61" s="7"/>
      <c r="E61" s="7"/>
      <c r="F61" s="11"/>
      <c r="G61" s="2"/>
      <c r="H61" s="109">
        <v>46631</v>
      </c>
      <c r="I61" s="110" t="str">
        <f>'R. Idriche (letture) '!$B61</f>
        <v>[m3]</v>
      </c>
      <c r="J61" s="111">
        <f>C62-'R. Idriche (letture) '!$C61</f>
        <v>0</v>
      </c>
      <c r="K61" s="111">
        <f t="shared" si="4"/>
        <v>0</v>
      </c>
      <c r="L61" s="111">
        <f>D62-'R. Idriche (letture) '!$D61</f>
        <v>0</v>
      </c>
      <c r="M61" s="111">
        <f t="shared" si="5"/>
        <v>12276</v>
      </c>
      <c r="N61" s="111">
        <f>E62-'R. Idriche (letture) '!$E61</f>
        <v>0</v>
      </c>
      <c r="O61" s="111">
        <f t="shared" si="6"/>
        <v>135134</v>
      </c>
      <c r="P61" s="112">
        <f>F62-'R. Idriche (letture) '!$F61</f>
        <v>0</v>
      </c>
      <c r="Q61" s="112">
        <f t="shared" si="7"/>
        <v>706</v>
      </c>
    </row>
    <row r="62" spans="1:17" ht="15.75" customHeight="1" x14ac:dyDescent="0.25">
      <c r="A62" s="30">
        <v>46660</v>
      </c>
      <c r="B62" s="2" t="s">
        <v>134</v>
      </c>
      <c r="C62" s="7"/>
      <c r="D62" s="7"/>
      <c r="E62" s="7"/>
      <c r="F62" s="11"/>
      <c r="G62" s="2"/>
      <c r="H62" s="35">
        <v>46661</v>
      </c>
      <c r="I62" s="36" t="str">
        <f>'R. Idriche (letture) '!$B62</f>
        <v>[m3]</v>
      </c>
      <c r="J62" s="33">
        <f>C63-'R. Idriche (letture) '!$C62</f>
        <v>0</v>
      </c>
      <c r="K62" s="33">
        <f t="shared" si="4"/>
        <v>0</v>
      </c>
      <c r="L62" s="33">
        <f>D63-'R. Idriche (letture) '!$D62</f>
        <v>0</v>
      </c>
      <c r="M62" s="33">
        <f t="shared" si="5"/>
        <v>12276</v>
      </c>
      <c r="N62" s="33">
        <f>E63-'R. Idriche (letture) '!$E62</f>
        <v>0</v>
      </c>
      <c r="O62" s="33">
        <f t="shared" si="6"/>
        <v>135134</v>
      </c>
      <c r="P62" s="34">
        <f>F63-'R. Idriche (letture) '!$F62</f>
        <v>0</v>
      </c>
      <c r="Q62" s="34">
        <f t="shared" si="7"/>
        <v>706</v>
      </c>
    </row>
    <row r="63" spans="1:17" ht="15.75" customHeight="1" x14ac:dyDescent="0.25">
      <c r="A63" s="30">
        <v>46691</v>
      </c>
      <c r="B63" s="2" t="s">
        <v>134</v>
      </c>
      <c r="C63" s="7"/>
      <c r="D63" s="7"/>
      <c r="E63" s="7"/>
      <c r="F63" s="11"/>
      <c r="G63" s="2"/>
      <c r="H63" s="109">
        <v>46692</v>
      </c>
      <c r="I63" s="110" t="str">
        <f>'R. Idriche (letture) '!$B63</f>
        <v>[m3]</v>
      </c>
      <c r="J63" s="111">
        <f>C64-'R. Idriche (letture) '!$C63</f>
        <v>0</v>
      </c>
      <c r="K63" s="111">
        <f t="shared" si="4"/>
        <v>0</v>
      </c>
      <c r="L63" s="111">
        <f>D64-'R. Idriche (letture) '!$D63</f>
        <v>0</v>
      </c>
      <c r="M63" s="111">
        <f t="shared" si="5"/>
        <v>12276</v>
      </c>
      <c r="N63" s="111">
        <f>E64-'R. Idriche (letture) '!$E63</f>
        <v>0</v>
      </c>
      <c r="O63" s="111">
        <f t="shared" si="6"/>
        <v>135134</v>
      </c>
      <c r="P63" s="112">
        <f>F64-'R. Idriche (letture) '!$F63</f>
        <v>0</v>
      </c>
      <c r="Q63" s="112">
        <f t="shared" si="7"/>
        <v>706</v>
      </c>
    </row>
    <row r="64" spans="1:17" ht="15.75" customHeight="1" x14ac:dyDescent="0.25">
      <c r="A64" s="30">
        <v>46721</v>
      </c>
      <c r="B64" s="2" t="s">
        <v>134</v>
      </c>
      <c r="C64" s="7"/>
      <c r="D64" s="7"/>
      <c r="E64" s="7"/>
      <c r="F64" s="11"/>
      <c r="G64" s="2"/>
      <c r="H64" s="35">
        <v>46722</v>
      </c>
      <c r="I64" s="36" t="str">
        <f>'R. Idriche (letture) '!$B64</f>
        <v>[m3]</v>
      </c>
      <c r="J64" s="33">
        <f>C65-'R. Idriche (letture) '!$C64</f>
        <v>0</v>
      </c>
      <c r="K64" s="33">
        <f t="shared" si="4"/>
        <v>0</v>
      </c>
      <c r="L64" s="33">
        <f>D65-'R. Idriche (letture) '!$D64</f>
        <v>0</v>
      </c>
      <c r="M64" s="33">
        <f t="shared" si="5"/>
        <v>12276</v>
      </c>
      <c r="N64" s="33">
        <f>E65-'R. Idriche (letture) '!$E64</f>
        <v>0</v>
      </c>
      <c r="O64" s="33">
        <f t="shared" si="6"/>
        <v>135134</v>
      </c>
      <c r="P64" s="34">
        <f>F65-'R. Idriche (letture) '!$F64</f>
        <v>0</v>
      </c>
      <c r="Q64" s="34">
        <f t="shared" si="7"/>
        <v>706</v>
      </c>
    </row>
    <row r="65" spans="1:17" ht="15.75" customHeight="1" x14ac:dyDescent="0.25">
      <c r="A65" s="30">
        <v>46752</v>
      </c>
      <c r="B65" s="2" t="s">
        <v>134</v>
      </c>
      <c r="C65" s="7"/>
      <c r="D65" s="7"/>
      <c r="E65" s="7"/>
      <c r="F65" s="11"/>
      <c r="G65" s="2"/>
      <c r="H65" s="109">
        <v>46753</v>
      </c>
      <c r="I65" s="110" t="str">
        <f>'R. Idriche (letture) '!$B65</f>
        <v>[m3]</v>
      </c>
      <c r="J65" s="111">
        <f>C66-'R. Idriche (letture) '!$C65</f>
        <v>0</v>
      </c>
      <c r="K65" s="111">
        <f t="shared" si="4"/>
        <v>0</v>
      </c>
      <c r="L65" s="111">
        <f>D66-'R. Idriche (letture) '!$D65</f>
        <v>0</v>
      </c>
      <c r="M65" s="111">
        <f t="shared" si="5"/>
        <v>12276</v>
      </c>
      <c r="N65" s="111">
        <f>E66-'R. Idriche (letture) '!$E65</f>
        <v>0</v>
      </c>
      <c r="O65" s="111">
        <f t="shared" si="6"/>
        <v>135134</v>
      </c>
      <c r="P65" s="112">
        <f>F66-'R. Idriche (letture) '!$F65</f>
        <v>0</v>
      </c>
      <c r="Q65" s="112">
        <f t="shared" si="7"/>
        <v>706</v>
      </c>
    </row>
    <row r="66" spans="1:17" ht="15.75" customHeight="1" x14ac:dyDescent="0.25">
      <c r="A66" s="30">
        <v>46783</v>
      </c>
      <c r="B66" s="2" t="s">
        <v>134</v>
      </c>
      <c r="C66" s="7"/>
      <c r="D66" s="7"/>
      <c r="E66" s="7"/>
      <c r="F66" s="11"/>
      <c r="G66" s="2"/>
      <c r="H66" s="35">
        <v>46784</v>
      </c>
      <c r="I66" s="36" t="str">
        <f>'R. Idriche (letture) '!$B66</f>
        <v>[m3]</v>
      </c>
      <c r="J66" s="33">
        <f>C67-'R. Idriche (letture) '!$C66</f>
        <v>0</v>
      </c>
      <c r="K66" s="33">
        <f t="shared" si="4"/>
        <v>0</v>
      </c>
      <c r="L66" s="33">
        <f>D67-'R. Idriche (letture) '!$D66</f>
        <v>0</v>
      </c>
      <c r="M66" s="33">
        <f t="shared" si="5"/>
        <v>12276</v>
      </c>
      <c r="N66" s="33">
        <f>E67-'R. Idriche (letture) '!$E66</f>
        <v>0</v>
      </c>
      <c r="O66" s="33">
        <f t="shared" si="6"/>
        <v>135134</v>
      </c>
      <c r="P66" s="34">
        <f>F67-'R. Idriche (letture) '!$F66</f>
        <v>0</v>
      </c>
      <c r="Q66" s="34">
        <f t="shared" si="7"/>
        <v>706</v>
      </c>
    </row>
    <row r="67" spans="1:17" ht="15.75" customHeight="1" x14ac:dyDescent="0.25">
      <c r="A67" s="30">
        <v>46812</v>
      </c>
      <c r="B67" s="2" t="s">
        <v>134</v>
      </c>
      <c r="C67" s="7"/>
      <c r="D67" s="7"/>
      <c r="E67" s="7"/>
      <c r="F67" s="11"/>
      <c r="G67" s="2"/>
      <c r="H67" s="109">
        <v>46813</v>
      </c>
      <c r="I67" s="110" t="str">
        <f>'R. Idriche (letture) '!$B67</f>
        <v>[m3]</v>
      </c>
      <c r="J67" s="111">
        <f>C68-'R. Idriche (letture) '!$C67</f>
        <v>0</v>
      </c>
      <c r="K67" s="111">
        <f t="shared" si="4"/>
        <v>0</v>
      </c>
      <c r="L67" s="111">
        <f>D68-'R. Idriche (letture) '!$D67</f>
        <v>0</v>
      </c>
      <c r="M67" s="111">
        <f t="shared" si="5"/>
        <v>12276</v>
      </c>
      <c r="N67" s="111">
        <f>E68-'R. Idriche (letture) '!$E67</f>
        <v>0</v>
      </c>
      <c r="O67" s="111">
        <f t="shared" si="6"/>
        <v>135134</v>
      </c>
      <c r="P67" s="112">
        <f>F68-'R. Idriche (letture) '!$F67</f>
        <v>0</v>
      </c>
      <c r="Q67" s="112">
        <f t="shared" si="7"/>
        <v>706</v>
      </c>
    </row>
    <row r="68" spans="1:17" ht="15.75" customHeight="1" x14ac:dyDescent="0.25">
      <c r="A68" s="30">
        <v>46843</v>
      </c>
      <c r="B68" s="2" t="s">
        <v>134</v>
      </c>
      <c r="C68" s="7"/>
      <c r="D68" s="7"/>
      <c r="E68" s="7"/>
      <c r="F68" s="11"/>
      <c r="G68" s="2"/>
      <c r="H68" s="35">
        <v>46844</v>
      </c>
      <c r="I68" s="36" t="str">
        <f>'R. Idriche (letture) '!$B68</f>
        <v>[m3]</v>
      </c>
      <c r="J68" s="33">
        <f>C69-'R. Idriche (letture) '!$C68</f>
        <v>0</v>
      </c>
      <c r="K68" s="33">
        <f t="shared" si="4"/>
        <v>0</v>
      </c>
      <c r="L68" s="33">
        <f>D69-'R. Idriche (letture) '!$D68</f>
        <v>0</v>
      </c>
      <c r="M68" s="33">
        <f t="shared" si="5"/>
        <v>12276</v>
      </c>
      <c r="N68" s="33">
        <f>E69-'R. Idriche (letture) '!$E68</f>
        <v>0</v>
      </c>
      <c r="O68" s="33">
        <f t="shared" si="6"/>
        <v>135134</v>
      </c>
      <c r="P68" s="34">
        <f>F69-'R. Idriche (letture) '!$F68</f>
        <v>0</v>
      </c>
      <c r="Q68" s="34">
        <f t="shared" si="7"/>
        <v>706</v>
      </c>
    </row>
    <row r="69" spans="1:17" ht="15.75" customHeight="1" x14ac:dyDescent="0.25">
      <c r="A69" s="30">
        <v>46873</v>
      </c>
      <c r="B69" s="2" t="s">
        <v>134</v>
      </c>
      <c r="C69" s="7"/>
      <c r="D69" s="7"/>
      <c r="E69" s="7"/>
      <c r="F69" s="11"/>
      <c r="G69" s="2"/>
      <c r="H69" s="109">
        <v>46874</v>
      </c>
      <c r="I69" s="110" t="str">
        <f>'R. Idriche (letture) '!$B69</f>
        <v>[m3]</v>
      </c>
      <c r="J69" s="111">
        <f>C70-'R. Idriche (letture) '!$C69</f>
        <v>0</v>
      </c>
      <c r="K69" s="111">
        <f t="shared" si="4"/>
        <v>0</v>
      </c>
      <c r="L69" s="111">
        <f>D70-'R. Idriche (letture) '!$D69</f>
        <v>0</v>
      </c>
      <c r="M69" s="111">
        <f t="shared" si="5"/>
        <v>12276</v>
      </c>
      <c r="N69" s="111">
        <f>E70-'R. Idriche (letture) '!$E69</f>
        <v>0</v>
      </c>
      <c r="O69" s="111">
        <f t="shared" si="6"/>
        <v>135134</v>
      </c>
      <c r="P69" s="112">
        <f>F70-'R. Idriche (letture) '!$F69</f>
        <v>0</v>
      </c>
      <c r="Q69" s="112">
        <f t="shared" si="7"/>
        <v>706</v>
      </c>
    </row>
    <row r="70" spans="1:17" ht="15.75" customHeight="1" x14ac:dyDescent="0.25">
      <c r="A70" s="30">
        <v>46904</v>
      </c>
      <c r="B70" s="2" t="s">
        <v>134</v>
      </c>
      <c r="C70" s="7"/>
      <c r="D70" s="7"/>
      <c r="E70" s="7"/>
      <c r="F70" s="11"/>
      <c r="G70" s="2"/>
      <c r="H70" s="35">
        <v>46905</v>
      </c>
      <c r="I70" s="36" t="str">
        <f>'R. Idriche (letture) '!$B70</f>
        <v>[m3]</v>
      </c>
      <c r="J70" s="33">
        <f>C71-'R. Idriche (letture) '!$C70</f>
        <v>0</v>
      </c>
      <c r="K70" s="33">
        <f t="shared" si="4"/>
        <v>0</v>
      </c>
      <c r="L70" s="33">
        <f>D71-'R. Idriche (letture) '!$D70</f>
        <v>0</v>
      </c>
      <c r="M70" s="33">
        <f t="shared" si="5"/>
        <v>12276</v>
      </c>
      <c r="N70" s="33">
        <f>E71-'R. Idriche (letture) '!$E70</f>
        <v>0</v>
      </c>
      <c r="O70" s="33">
        <f t="shared" si="6"/>
        <v>135134</v>
      </c>
      <c r="P70" s="34">
        <f>F71-'R. Idriche (letture) '!$F70</f>
        <v>0</v>
      </c>
      <c r="Q70" s="34">
        <f t="shared" si="7"/>
        <v>706</v>
      </c>
    </row>
    <row r="71" spans="1:17" ht="15.75" customHeight="1" x14ac:dyDescent="0.25">
      <c r="A71" s="30">
        <v>46934</v>
      </c>
      <c r="B71" s="2" t="s">
        <v>134</v>
      </c>
      <c r="C71" s="7"/>
      <c r="D71" s="7"/>
      <c r="E71" s="7"/>
      <c r="F71" s="11"/>
      <c r="G71" s="2"/>
      <c r="H71" s="109">
        <v>46935</v>
      </c>
      <c r="I71" s="110" t="str">
        <f>'R. Idriche (letture) '!$B71</f>
        <v>[m3]</v>
      </c>
      <c r="J71" s="111">
        <f>C72-'R. Idriche (letture) '!$C71</f>
        <v>0</v>
      </c>
      <c r="K71" s="111">
        <f t="shared" si="4"/>
        <v>0</v>
      </c>
      <c r="L71" s="111">
        <f>D72-'R. Idriche (letture) '!$D71</f>
        <v>0</v>
      </c>
      <c r="M71" s="111">
        <f t="shared" si="5"/>
        <v>12276</v>
      </c>
      <c r="N71" s="111">
        <f>E72-'R. Idriche (letture) '!$E71</f>
        <v>0</v>
      </c>
      <c r="O71" s="111">
        <f t="shared" si="6"/>
        <v>135134</v>
      </c>
      <c r="P71" s="112">
        <f>F72-'R. Idriche (letture) '!$F71</f>
        <v>0</v>
      </c>
      <c r="Q71" s="112">
        <f t="shared" si="7"/>
        <v>706</v>
      </c>
    </row>
    <row r="72" spans="1:17" ht="15.75" customHeight="1" x14ac:dyDescent="0.25">
      <c r="A72" s="30">
        <v>46965</v>
      </c>
      <c r="B72" s="2" t="s">
        <v>134</v>
      </c>
      <c r="C72" s="7"/>
      <c r="D72" s="7"/>
      <c r="E72" s="7"/>
      <c r="F72" s="11"/>
      <c r="G72" s="2"/>
      <c r="H72" s="35">
        <v>46966</v>
      </c>
      <c r="I72" s="36" t="str">
        <f>'R. Idriche (letture) '!$B72</f>
        <v>[m3]</v>
      </c>
      <c r="J72" s="33">
        <f>C73-'R. Idriche (letture) '!$C72</f>
        <v>0</v>
      </c>
      <c r="K72" s="33">
        <f t="shared" si="4"/>
        <v>0</v>
      </c>
      <c r="L72" s="33">
        <f>D73-'R. Idriche (letture) '!$D72</f>
        <v>0</v>
      </c>
      <c r="M72" s="33">
        <f t="shared" si="5"/>
        <v>12276</v>
      </c>
      <c r="N72" s="33">
        <f>E73-'R. Idriche (letture) '!$E72</f>
        <v>0</v>
      </c>
      <c r="O72" s="33">
        <f t="shared" si="6"/>
        <v>135134</v>
      </c>
      <c r="P72" s="34">
        <f>F73-'R. Idriche (letture) '!$F72</f>
        <v>0</v>
      </c>
      <c r="Q72" s="34">
        <f t="shared" si="7"/>
        <v>706</v>
      </c>
    </row>
    <row r="73" spans="1:17" ht="15.75" customHeight="1" x14ac:dyDescent="0.25">
      <c r="A73" s="30">
        <v>46996</v>
      </c>
      <c r="B73" s="2" t="s">
        <v>134</v>
      </c>
      <c r="C73" s="7"/>
      <c r="D73" s="7"/>
      <c r="E73" s="7"/>
      <c r="F73" s="11"/>
      <c r="G73" s="2"/>
      <c r="H73" s="109">
        <v>46997</v>
      </c>
      <c r="I73" s="110" t="str">
        <f>'R. Idriche (letture) '!$B73</f>
        <v>[m3]</v>
      </c>
      <c r="J73" s="111">
        <f>C74-'R. Idriche (letture) '!$C73</f>
        <v>0</v>
      </c>
      <c r="K73" s="111">
        <f t="shared" si="4"/>
        <v>0</v>
      </c>
      <c r="L73" s="111">
        <f>D74-'R. Idriche (letture) '!$D73</f>
        <v>0</v>
      </c>
      <c r="M73" s="111">
        <f t="shared" si="5"/>
        <v>12276</v>
      </c>
      <c r="N73" s="111">
        <f>E74-'R. Idriche (letture) '!$E73</f>
        <v>0</v>
      </c>
      <c r="O73" s="111">
        <f t="shared" si="6"/>
        <v>135134</v>
      </c>
      <c r="P73" s="112">
        <f>F74-'R. Idriche (letture) '!$F73</f>
        <v>0</v>
      </c>
      <c r="Q73" s="112">
        <f t="shared" si="7"/>
        <v>706</v>
      </c>
    </row>
    <row r="74" spans="1:17" ht="15.75" customHeight="1" x14ac:dyDescent="0.25">
      <c r="A74" s="30">
        <v>47026</v>
      </c>
      <c r="B74" s="2" t="s">
        <v>134</v>
      </c>
      <c r="C74" s="7"/>
      <c r="D74" s="7"/>
      <c r="E74" s="7"/>
      <c r="F74" s="11"/>
      <c r="G74" s="2"/>
      <c r="H74" s="35">
        <v>47027</v>
      </c>
      <c r="I74" s="36" t="str">
        <f>'R. Idriche (letture) '!$B74</f>
        <v>[m3]</v>
      </c>
      <c r="J74" s="33">
        <f>C75-'R. Idriche (letture) '!$C74</f>
        <v>0</v>
      </c>
      <c r="K74" s="33">
        <f t="shared" si="4"/>
        <v>0</v>
      </c>
      <c r="L74" s="33">
        <f>D75-'R. Idriche (letture) '!$D74</f>
        <v>0</v>
      </c>
      <c r="M74" s="33">
        <f t="shared" si="5"/>
        <v>12276</v>
      </c>
      <c r="N74" s="33">
        <f>E75-'R. Idriche (letture) '!$E74</f>
        <v>0</v>
      </c>
      <c r="O74" s="33">
        <f t="shared" si="6"/>
        <v>135134</v>
      </c>
      <c r="P74" s="34">
        <f>F75-'R. Idriche (letture) '!$F74</f>
        <v>0</v>
      </c>
      <c r="Q74" s="34">
        <f t="shared" si="7"/>
        <v>706</v>
      </c>
    </row>
    <row r="75" spans="1:17" ht="15.75" customHeight="1" x14ac:dyDescent="0.25">
      <c r="A75" s="30">
        <v>47057</v>
      </c>
      <c r="B75" s="2" t="s">
        <v>134</v>
      </c>
      <c r="C75" s="7"/>
      <c r="D75" s="7"/>
      <c r="E75" s="7"/>
      <c r="F75" s="11"/>
      <c r="G75" s="2"/>
      <c r="H75" s="109">
        <v>47058</v>
      </c>
      <c r="I75" s="110" t="str">
        <f>'R. Idriche (letture) '!$B75</f>
        <v>[m3]</v>
      </c>
      <c r="J75" s="111">
        <f>C76-'R. Idriche (letture) '!$C75</f>
        <v>0</v>
      </c>
      <c r="K75" s="111">
        <f t="shared" si="4"/>
        <v>0</v>
      </c>
      <c r="L75" s="111">
        <f>D76-'R. Idriche (letture) '!$D75</f>
        <v>0</v>
      </c>
      <c r="M75" s="111">
        <f t="shared" si="5"/>
        <v>12276</v>
      </c>
      <c r="N75" s="111">
        <f>E76-'R. Idriche (letture) '!$E75</f>
        <v>0</v>
      </c>
      <c r="O75" s="111">
        <f t="shared" si="6"/>
        <v>135134</v>
      </c>
      <c r="P75" s="112">
        <f>F76-'R. Idriche (letture) '!$F75</f>
        <v>0</v>
      </c>
      <c r="Q75" s="112">
        <f t="shared" si="7"/>
        <v>706</v>
      </c>
    </row>
    <row r="76" spans="1:17" ht="15.75" customHeight="1" x14ac:dyDescent="0.25">
      <c r="A76" s="30">
        <v>47087</v>
      </c>
      <c r="B76" s="2" t="s">
        <v>134</v>
      </c>
      <c r="C76" s="7"/>
      <c r="D76" s="7"/>
      <c r="E76" s="7"/>
      <c r="F76" s="11"/>
      <c r="G76" s="2"/>
      <c r="H76" s="35">
        <v>47088</v>
      </c>
      <c r="I76" s="36" t="str">
        <f>'R. Idriche (letture) '!$B76</f>
        <v>[m3]</v>
      </c>
      <c r="J76" s="33">
        <f>C77-'R. Idriche (letture) '!$C76</f>
        <v>0</v>
      </c>
      <c r="K76" s="33">
        <f t="shared" si="4"/>
        <v>0</v>
      </c>
      <c r="L76" s="33">
        <f>D77-'R. Idriche (letture) '!$D76</f>
        <v>0</v>
      </c>
      <c r="M76" s="33">
        <f t="shared" si="5"/>
        <v>12276</v>
      </c>
      <c r="N76" s="33">
        <f>E77-'R. Idriche (letture) '!$E76</f>
        <v>0</v>
      </c>
      <c r="O76" s="33">
        <f t="shared" si="6"/>
        <v>135134</v>
      </c>
      <c r="P76" s="34">
        <f>F77-'R. Idriche (letture) '!$F76</f>
        <v>0</v>
      </c>
      <c r="Q76" s="34">
        <f t="shared" si="7"/>
        <v>706</v>
      </c>
    </row>
    <row r="77" spans="1:17" ht="15.75" customHeight="1" x14ac:dyDescent="0.25">
      <c r="A77" s="30">
        <v>47118</v>
      </c>
      <c r="B77" s="2" t="s">
        <v>134</v>
      </c>
      <c r="C77" s="7"/>
      <c r="D77" s="7"/>
      <c r="E77" s="7"/>
      <c r="F77" s="11"/>
      <c r="G77" s="2"/>
      <c r="H77" s="109">
        <v>47119</v>
      </c>
      <c r="I77" s="110" t="str">
        <f>'R. Idriche (letture) '!$B77</f>
        <v>[m3]</v>
      </c>
      <c r="J77" s="111">
        <f>C78-'R. Idriche (letture) '!$C77</f>
        <v>0</v>
      </c>
      <c r="K77" s="111">
        <f t="shared" si="4"/>
        <v>0</v>
      </c>
      <c r="L77" s="111">
        <f>D78-'R. Idriche (letture) '!$D77</f>
        <v>0</v>
      </c>
      <c r="M77" s="111">
        <f t="shared" si="5"/>
        <v>12276</v>
      </c>
      <c r="N77" s="111">
        <f>E78-'R. Idriche (letture) '!$E77</f>
        <v>0</v>
      </c>
      <c r="O77" s="111">
        <f t="shared" si="6"/>
        <v>135134</v>
      </c>
      <c r="P77" s="112">
        <f>F78-'R. Idriche (letture) '!$F77</f>
        <v>0</v>
      </c>
      <c r="Q77" s="112">
        <f t="shared" si="7"/>
        <v>706</v>
      </c>
    </row>
    <row r="78" spans="1:17" ht="15.75" customHeight="1" x14ac:dyDescent="0.25">
      <c r="A78" s="30">
        <v>47149</v>
      </c>
      <c r="B78" s="2" t="s">
        <v>134</v>
      </c>
      <c r="C78" s="7"/>
      <c r="D78" s="7"/>
      <c r="E78" s="7"/>
      <c r="F78" s="11"/>
      <c r="G78" s="2"/>
      <c r="H78" s="35">
        <v>47150</v>
      </c>
      <c r="I78" s="36" t="str">
        <f>'R. Idriche (letture) '!$B78</f>
        <v>[m3]</v>
      </c>
      <c r="J78" s="33">
        <f>C79-'R. Idriche (letture) '!$C78</f>
        <v>0</v>
      </c>
      <c r="K78" s="33">
        <f t="shared" si="4"/>
        <v>0</v>
      </c>
      <c r="L78" s="33">
        <f>D79-'R. Idriche (letture) '!$D78</f>
        <v>0</v>
      </c>
      <c r="M78" s="33">
        <f t="shared" si="5"/>
        <v>12276</v>
      </c>
      <c r="N78" s="33">
        <f>E79-'R. Idriche (letture) '!$E78</f>
        <v>0</v>
      </c>
      <c r="O78" s="33">
        <f t="shared" si="6"/>
        <v>135134</v>
      </c>
      <c r="P78" s="34">
        <f>F79-'R. Idriche (letture) '!$F78</f>
        <v>0</v>
      </c>
      <c r="Q78" s="34">
        <f t="shared" si="7"/>
        <v>706</v>
      </c>
    </row>
    <row r="79" spans="1:17" ht="15.75" customHeight="1" x14ac:dyDescent="0.25">
      <c r="A79" s="30">
        <v>47177</v>
      </c>
      <c r="B79" s="2" t="s">
        <v>134</v>
      </c>
      <c r="C79" s="7"/>
      <c r="D79" s="7"/>
      <c r="E79" s="7"/>
      <c r="F79" s="11"/>
      <c r="G79" s="2"/>
      <c r="H79" s="109">
        <v>47178</v>
      </c>
      <c r="I79" s="110" t="str">
        <f>'R. Idriche (letture) '!$B79</f>
        <v>[m3]</v>
      </c>
      <c r="J79" s="111">
        <f>C80-'R. Idriche (letture) '!$C79</f>
        <v>0</v>
      </c>
      <c r="K79" s="111">
        <f t="shared" si="4"/>
        <v>0</v>
      </c>
      <c r="L79" s="111">
        <f>D80-'R. Idriche (letture) '!$D79</f>
        <v>0</v>
      </c>
      <c r="M79" s="111">
        <f t="shared" si="5"/>
        <v>12276</v>
      </c>
      <c r="N79" s="111">
        <f>E80-'R. Idriche (letture) '!$E79</f>
        <v>0</v>
      </c>
      <c r="O79" s="111">
        <f t="shared" si="6"/>
        <v>135134</v>
      </c>
      <c r="P79" s="112">
        <f>F80-'R. Idriche (letture) '!$F79</f>
        <v>0</v>
      </c>
      <c r="Q79" s="112">
        <f t="shared" si="7"/>
        <v>706</v>
      </c>
    </row>
    <row r="80" spans="1:17" ht="15.75" customHeight="1" x14ac:dyDescent="0.25">
      <c r="A80" s="30">
        <v>47208</v>
      </c>
      <c r="B80" s="2" t="s">
        <v>134</v>
      </c>
      <c r="C80" s="7"/>
      <c r="D80" s="7"/>
      <c r="E80" s="7"/>
      <c r="F80" s="11"/>
      <c r="G80" s="2"/>
      <c r="H80" s="35">
        <v>47209</v>
      </c>
      <c r="I80" s="36" t="str">
        <f>'R. Idriche (letture) '!$B80</f>
        <v>[m3]</v>
      </c>
      <c r="J80" s="33">
        <f>C81-'R. Idriche (letture) '!$C80</f>
        <v>0</v>
      </c>
      <c r="K80" s="33">
        <f t="shared" si="4"/>
        <v>0</v>
      </c>
      <c r="L80" s="33">
        <f>D81-'R. Idriche (letture) '!$D80</f>
        <v>0</v>
      </c>
      <c r="M80" s="33">
        <f t="shared" si="5"/>
        <v>12276</v>
      </c>
      <c r="N80" s="33">
        <f>E81-'R. Idriche (letture) '!$E80</f>
        <v>0</v>
      </c>
      <c r="O80" s="33">
        <f t="shared" si="6"/>
        <v>135134</v>
      </c>
      <c r="P80" s="34">
        <f>F81-'R. Idriche (letture) '!$F80</f>
        <v>0</v>
      </c>
      <c r="Q80" s="34">
        <f t="shared" si="7"/>
        <v>706</v>
      </c>
    </row>
    <row r="81" spans="1:17" ht="15.75" customHeight="1" x14ac:dyDescent="0.25">
      <c r="A81" s="30">
        <v>47238</v>
      </c>
      <c r="B81" s="2" t="s">
        <v>134</v>
      </c>
      <c r="C81" s="7"/>
      <c r="D81" s="7"/>
      <c r="E81" s="7"/>
      <c r="F81" s="11"/>
      <c r="G81" s="2"/>
      <c r="H81" s="109">
        <v>47239</v>
      </c>
      <c r="I81" s="110" t="str">
        <f>'R. Idriche (letture) '!$B81</f>
        <v>[m3]</v>
      </c>
      <c r="J81" s="111">
        <f>C82-'R. Idriche (letture) '!$C81</f>
        <v>0</v>
      </c>
      <c r="K81" s="111">
        <f t="shared" si="4"/>
        <v>0</v>
      </c>
      <c r="L81" s="111">
        <f>D82-'R. Idriche (letture) '!$D81</f>
        <v>0</v>
      </c>
      <c r="M81" s="111">
        <f t="shared" si="5"/>
        <v>12276</v>
      </c>
      <c r="N81" s="111">
        <f>E82-'R. Idriche (letture) '!$E81</f>
        <v>0</v>
      </c>
      <c r="O81" s="111">
        <f t="shared" si="6"/>
        <v>135134</v>
      </c>
      <c r="P81" s="112">
        <f>F82-'R. Idriche (letture) '!$F81</f>
        <v>0</v>
      </c>
      <c r="Q81" s="112">
        <f t="shared" si="7"/>
        <v>706</v>
      </c>
    </row>
    <row r="82" spans="1:17" ht="15.75" customHeight="1" x14ac:dyDescent="0.25">
      <c r="A82" s="30">
        <v>47269</v>
      </c>
      <c r="B82" s="2" t="s">
        <v>134</v>
      </c>
      <c r="C82" s="7"/>
      <c r="D82" s="7"/>
      <c r="E82" s="7"/>
      <c r="F82" s="11"/>
      <c r="G82" s="2"/>
      <c r="H82" s="35">
        <v>47270</v>
      </c>
      <c r="I82" s="36" t="str">
        <f>'R. Idriche (letture) '!$B82</f>
        <v>[m3]</v>
      </c>
      <c r="J82" s="33">
        <f>C83-'R. Idriche (letture) '!$C82</f>
        <v>0</v>
      </c>
      <c r="K82" s="33">
        <f t="shared" si="4"/>
        <v>0</v>
      </c>
      <c r="L82" s="33">
        <f>D83-'R. Idriche (letture) '!$D82</f>
        <v>0</v>
      </c>
      <c r="M82" s="33">
        <f t="shared" si="5"/>
        <v>12276</v>
      </c>
      <c r="N82" s="33">
        <f>E83-'R. Idriche (letture) '!$E82</f>
        <v>0</v>
      </c>
      <c r="O82" s="33">
        <f t="shared" si="6"/>
        <v>135134</v>
      </c>
      <c r="P82" s="34">
        <f>F83-'R. Idriche (letture) '!$F82</f>
        <v>0</v>
      </c>
      <c r="Q82" s="34">
        <f t="shared" si="7"/>
        <v>706</v>
      </c>
    </row>
    <row r="83" spans="1:17" ht="15.75" customHeight="1" x14ac:dyDescent="0.25">
      <c r="A83" s="30">
        <v>47299</v>
      </c>
      <c r="B83" s="2" t="s">
        <v>134</v>
      </c>
      <c r="C83" s="7"/>
      <c r="D83" s="7"/>
      <c r="E83" s="7"/>
      <c r="F83" s="11"/>
      <c r="G83" s="2"/>
      <c r="H83" s="109">
        <v>47300</v>
      </c>
      <c r="I83" s="110" t="str">
        <f>'R. Idriche (letture) '!$B83</f>
        <v>[m3]</v>
      </c>
      <c r="J83" s="111">
        <f>C84-'R. Idriche (letture) '!$C83</f>
        <v>0</v>
      </c>
      <c r="K83" s="111">
        <f t="shared" si="4"/>
        <v>0</v>
      </c>
      <c r="L83" s="111">
        <f>D84-'R. Idriche (letture) '!$D83</f>
        <v>0</v>
      </c>
      <c r="M83" s="111">
        <f t="shared" si="5"/>
        <v>12276</v>
      </c>
      <c r="N83" s="111">
        <f>E84-'R. Idriche (letture) '!$E83</f>
        <v>0</v>
      </c>
      <c r="O83" s="111">
        <f t="shared" si="6"/>
        <v>135134</v>
      </c>
      <c r="P83" s="112">
        <f>F84-'R. Idriche (letture) '!$F83</f>
        <v>0</v>
      </c>
      <c r="Q83" s="112">
        <f t="shared" si="7"/>
        <v>706</v>
      </c>
    </row>
    <row r="84" spans="1:17" ht="15.75" customHeight="1" x14ac:dyDescent="0.25">
      <c r="A84" s="30">
        <v>47330</v>
      </c>
      <c r="B84" s="2" t="s">
        <v>134</v>
      </c>
      <c r="C84" s="7"/>
      <c r="D84" s="7"/>
      <c r="E84" s="7"/>
      <c r="F84" s="11"/>
      <c r="G84" s="2"/>
      <c r="H84" s="35">
        <v>47331</v>
      </c>
      <c r="I84" s="36" t="str">
        <f>'R. Idriche (letture) '!$B84</f>
        <v>[m3]</v>
      </c>
      <c r="J84" s="33">
        <f>C85-'R. Idriche (letture) '!$C84</f>
        <v>0</v>
      </c>
      <c r="K84" s="33">
        <f t="shared" si="4"/>
        <v>0</v>
      </c>
      <c r="L84" s="33">
        <f>D85-'R. Idriche (letture) '!$D84</f>
        <v>0</v>
      </c>
      <c r="M84" s="33">
        <f t="shared" si="5"/>
        <v>12276</v>
      </c>
      <c r="N84" s="33">
        <f>E85-'R. Idriche (letture) '!$E84</f>
        <v>0</v>
      </c>
      <c r="O84" s="33">
        <f t="shared" si="6"/>
        <v>135134</v>
      </c>
      <c r="P84" s="34">
        <f>F85-'R. Idriche (letture) '!$F84</f>
        <v>0</v>
      </c>
      <c r="Q84" s="34">
        <f t="shared" si="7"/>
        <v>706</v>
      </c>
    </row>
    <row r="85" spans="1:17" ht="15.75" customHeight="1" x14ac:dyDescent="0.25">
      <c r="A85" s="30">
        <v>47361</v>
      </c>
      <c r="B85" s="2" t="s">
        <v>134</v>
      </c>
      <c r="C85" s="7"/>
      <c r="D85" s="7"/>
      <c r="E85" s="7"/>
      <c r="F85" s="11"/>
      <c r="G85" s="2"/>
      <c r="H85" s="109">
        <v>47362</v>
      </c>
      <c r="I85" s="110" t="str">
        <f>'R. Idriche (letture) '!$B85</f>
        <v>[m3]</v>
      </c>
      <c r="J85" s="111">
        <f>C86-'R. Idriche (letture) '!$C85</f>
        <v>0</v>
      </c>
      <c r="K85" s="111">
        <f t="shared" si="4"/>
        <v>0</v>
      </c>
      <c r="L85" s="111">
        <f>D86-'R. Idriche (letture) '!$D85</f>
        <v>0</v>
      </c>
      <c r="M85" s="111">
        <f t="shared" si="5"/>
        <v>12276</v>
      </c>
      <c r="N85" s="111">
        <f>E86-'R. Idriche (letture) '!$E85</f>
        <v>0</v>
      </c>
      <c r="O85" s="111">
        <f t="shared" si="6"/>
        <v>135134</v>
      </c>
      <c r="P85" s="112">
        <f>F86-'R. Idriche (letture) '!$F85</f>
        <v>0</v>
      </c>
      <c r="Q85" s="112">
        <f t="shared" si="7"/>
        <v>706</v>
      </c>
    </row>
    <row r="86" spans="1:17" ht="15.75" customHeight="1" x14ac:dyDescent="0.25">
      <c r="A86" s="30">
        <v>47391</v>
      </c>
      <c r="B86" s="2" t="s">
        <v>134</v>
      </c>
      <c r="C86" s="7"/>
      <c r="D86" s="7"/>
      <c r="E86" s="7"/>
      <c r="F86" s="11"/>
      <c r="G86" s="2"/>
      <c r="H86" s="35">
        <v>47392</v>
      </c>
      <c r="I86" s="36" t="str">
        <f>'R. Idriche (letture) '!$B86</f>
        <v>[m3]</v>
      </c>
      <c r="J86" s="33">
        <f>C87-'R. Idriche (letture) '!$C86</f>
        <v>0</v>
      </c>
      <c r="K86" s="33">
        <f t="shared" si="4"/>
        <v>0</v>
      </c>
      <c r="L86" s="33">
        <f>D87-'R. Idriche (letture) '!$D86</f>
        <v>0</v>
      </c>
      <c r="M86" s="33">
        <f t="shared" si="5"/>
        <v>12276</v>
      </c>
      <c r="N86" s="33">
        <f>E87-'R. Idriche (letture) '!$E86</f>
        <v>0</v>
      </c>
      <c r="O86" s="33">
        <f t="shared" si="6"/>
        <v>135134</v>
      </c>
      <c r="P86" s="34">
        <f>F87-'R. Idriche (letture) '!$F86</f>
        <v>0</v>
      </c>
      <c r="Q86" s="34">
        <f t="shared" si="7"/>
        <v>706</v>
      </c>
    </row>
    <row r="87" spans="1:17" ht="15.75" customHeight="1" x14ac:dyDescent="0.25">
      <c r="A87" s="30">
        <v>47422</v>
      </c>
      <c r="B87" s="2" t="s">
        <v>134</v>
      </c>
      <c r="C87" s="7"/>
      <c r="D87" s="7"/>
      <c r="E87" s="7"/>
      <c r="F87" s="11"/>
      <c r="G87" s="2"/>
      <c r="H87" s="109">
        <v>47423</v>
      </c>
      <c r="I87" s="110" t="str">
        <f>'R. Idriche (letture) '!$B87</f>
        <v>[m3]</v>
      </c>
      <c r="J87" s="111">
        <f>C88-'R. Idriche (letture) '!$C87</f>
        <v>0</v>
      </c>
      <c r="K87" s="111">
        <f t="shared" si="4"/>
        <v>0</v>
      </c>
      <c r="L87" s="111">
        <f>D88-'R. Idriche (letture) '!$D87</f>
        <v>0</v>
      </c>
      <c r="M87" s="111">
        <f t="shared" si="5"/>
        <v>12276</v>
      </c>
      <c r="N87" s="111">
        <f>E88-'R. Idriche (letture) '!$E87</f>
        <v>0</v>
      </c>
      <c r="O87" s="111">
        <f t="shared" si="6"/>
        <v>135134</v>
      </c>
      <c r="P87" s="112">
        <f>F88-'R. Idriche (letture) '!$F87</f>
        <v>0</v>
      </c>
      <c r="Q87" s="112">
        <f t="shared" si="7"/>
        <v>706</v>
      </c>
    </row>
    <row r="88" spans="1:17" ht="15.75" customHeight="1" x14ac:dyDescent="0.25">
      <c r="A88" s="30">
        <v>47452</v>
      </c>
      <c r="B88" s="2" t="s">
        <v>134</v>
      </c>
      <c r="C88" s="7"/>
      <c r="D88" s="7"/>
      <c r="E88" s="7"/>
      <c r="F88" s="11"/>
      <c r="G88" s="2"/>
      <c r="H88" s="35">
        <v>47453</v>
      </c>
      <c r="I88" s="36" t="str">
        <f>'R. Idriche (letture) '!$B88</f>
        <v>[m3]</v>
      </c>
      <c r="J88" s="33">
        <f>C89-'R. Idriche (letture) '!$C88</f>
        <v>0</v>
      </c>
      <c r="K88" s="33">
        <f t="shared" si="4"/>
        <v>0</v>
      </c>
      <c r="L88" s="33">
        <f>D89-'R. Idriche (letture) '!$D88</f>
        <v>0</v>
      </c>
      <c r="M88" s="33">
        <f t="shared" si="5"/>
        <v>12276</v>
      </c>
      <c r="N88" s="33">
        <f>E89-'R. Idriche (letture) '!$E88</f>
        <v>0</v>
      </c>
      <c r="O88" s="33">
        <f t="shared" si="6"/>
        <v>135134</v>
      </c>
      <c r="P88" s="34">
        <f>F89-'R. Idriche (letture) '!$F88</f>
        <v>0</v>
      </c>
      <c r="Q88" s="34">
        <f t="shared" si="7"/>
        <v>706</v>
      </c>
    </row>
    <row r="89" spans="1:17" ht="15.75" customHeight="1" x14ac:dyDescent="0.25">
      <c r="A89" s="30">
        <v>47483</v>
      </c>
      <c r="B89" s="2" t="s">
        <v>134</v>
      </c>
      <c r="C89" s="7"/>
      <c r="D89" s="7"/>
      <c r="E89" s="7"/>
      <c r="F89" s="11"/>
      <c r="G89" s="2"/>
      <c r="H89" s="109">
        <v>47484</v>
      </c>
      <c r="I89" s="110" t="str">
        <f>'R. Idriche (letture) '!$B89</f>
        <v>[m3]</v>
      </c>
      <c r="J89" s="111">
        <f>C90-'R. Idriche (letture) '!$C89</f>
        <v>0</v>
      </c>
      <c r="K89" s="111">
        <f t="shared" si="4"/>
        <v>0</v>
      </c>
      <c r="L89" s="111">
        <f>D90-'R. Idriche (letture) '!$D89</f>
        <v>0</v>
      </c>
      <c r="M89" s="111">
        <f t="shared" si="5"/>
        <v>12276</v>
      </c>
      <c r="N89" s="111">
        <f>E90-'R. Idriche (letture) '!$E89</f>
        <v>0</v>
      </c>
      <c r="O89" s="111">
        <f t="shared" si="6"/>
        <v>135134</v>
      </c>
      <c r="P89" s="112">
        <f>F90-'R. Idriche (letture) '!$F89</f>
        <v>0</v>
      </c>
      <c r="Q89" s="112">
        <f t="shared" si="7"/>
        <v>706</v>
      </c>
    </row>
    <row r="90" spans="1:17" ht="15.75" customHeight="1" x14ac:dyDescent="0.25">
      <c r="A90" s="30">
        <v>47514</v>
      </c>
      <c r="B90" s="2" t="s">
        <v>134</v>
      </c>
      <c r="C90" s="7"/>
      <c r="D90" s="7"/>
      <c r="E90" s="7"/>
      <c r="F90" s="11"/>
      <c r="G90" s="2"/>
      <c r="H90" s="35">
        <v>47515</v>
      </c>
      <c r="I90" s="36" t="str">
        <f>'R. Idriche (letture) '!$B90</f>
        <v>[m3]</v>
      </c>
      <c r="J90" s="33">
        <f>C91-'R. Idriche (letture) '!$C90</f>
        <v>0</v>
      </c>
      <c r="K90" s="33">
        <f t="shared" si="4"/>
        <v>0</v>
      </c>
      <c r="L90" s="33">
        <f>D91-'R. Idriche (letture) '!$D90</f>
        <v>0</v>
      </c>
      <c r="M90" s="33">
        <f t="shared" si="5"/>
        <v>12276</v>
      </c>
      <c r="N90" s="33">
        <f>E91-'R. Idriche (letture) '!$E90</f>
        <v>0</v>
      </c>
      <c r="O90" s="33">
        <f t="shared" si="6"/>
        <v>135134</v>
      </c>
      <c r="P90" s="34">
        <f>F91-'R. Idriche (letture) '!$F90</f>
        <v>0</v>
      </c>
      <c r="Q90" s="34">
        <f t="shared" si="7"/>
        <v>706</v>
      </c>
    </row>
    <row r="91" spans="1:17" ht="15.75" customHeight="1" x14ac:dyDescent="0.25">
      <c r="A91" s="30">
        <v>47542</v>
      </c>
      <c r="B91" s="2" t="s">
        <v>134</v>
      </c>
      <c r="C91" s="7"/>
      <c r="D91" s="7"/>
      <c r="E91" s="7"/>
      <c r="F91" s="11"/>
      <c r="G91" s="2"/>
      <c r="H91" s="109">
        <v>47543</v>
      </c>
      <c r="I91" s="110" t="str">
        <f>'R. Idriche (letture) '!$B91</f>
        <v>[m3]</v>
      </c>
      <c r="J91" s="111">
        <f>C92-'R. Idriche (letture) '!$C91</f>
        <v>0</v>
      </c>
      <c r="K91" s="111">
        <f t="shared" si="4"/>
        <v>0</v>
      </c>
      <c r="L91" s="111">
        <f>D92-'R. Idriche (letture) '!$D91</f>
        <v>0</v>
      </c>
      <c r="M91" s="111">
        <f t="shared" si="5"/>
        <v>12276</v>
      </c>
      <c r="N91" s="111">
        <f>E92-'R. Idriche (letture) '!$E91</f>
        <v>0</v>
      </c>
      <c r="O91" s="111">
        <f t="shared" si="6"/>
        <v>135134</v>
      </c>
      <c r="P91" s="112">
        <f>F92-'R. Idriche (letture) '!$F91</f>
        <v>0</v>
      </c>
      <c r="Q91" s="112">
        <f t="shared" si="7"/>
        <v>706</v>
      </c>
    </row>
    <row r="92" spans="1:17" ht="15.75" customHeight="1" x14ac:dyDescent="0.25">
      <c r="A92" s="30">
        <v>47573</v>
      </c>
      <c r="B92" s="2" t="s">
        <v>134</v>
      </c>
      <c r="C92" s="7"/>
      <c r="D92" s="7"/>
      <c r="E92" s="7"/>
      <c r="F92" s="11"/>
      <c r="G92" s="2"/>
      <c r="H92" s="35">
        <v>47574</v>
      </c>
      <c r="I92" s="36" t="str">
        <f>'R. Idriche (letture) '!$B92</f>
        <v>[m3]</v>
      </c>
      <c r="J92" s="33">
        <f>C93-'R. Idriche (letture) '!$C92</f>
        <v>0</v>
      </c>
      <c r="K92" s="33">
        <f t="shared" si="4"/>
        <v>0</v>
      </c>
      <c r="L92" s="33">
        <f>D93-'R. Idriche (letture) '!$D92</f>
        <v>0</v>
      </c>
      <c r="M92" s="33">
        <f t="shared" si="5"/>
        <v>12276</v>
      </c>
      <c r="N92" s="33">
        <f>E93-'R. Idriche (letture) '!$E92</f>
        <v>0</v>
      </c>
      <c r="O92" s="33">
        <f t="shared" si="6"/>
        <v>135134</v>
      </c>
      <c r="P92" s="34">
        <f>F93-'R. Idriche (letture) '!$F92</f>
        <v>0</v>
      </c>
      <c r="Q92" s="34">
        <f t="shared" si="7"/>
        <v>706</v>
      </c>
    </row>
    <row r="93" spans="1:17" ht="15.75" customHeight="1" x14ac:dyDescent="0.25">
      <c r="A93" s="30">
        <v>47603</v>
      </c>
      <c r="B93" s="2" t="s">
        <v>134</v>
      </c>
      <c r="C93" s="7"/>
      <c r="D93" s="7"/>
      <c r="E93" s="7"/>
      <c r="F93" s="11"/>
      <c r="G93" s="2"/>
      <c r="H93" s="109">
        <v>47604</v>
      </c>
      <c r="I93" s="110" t="str">
        <f>'R. Idriche (letture) '!$B93</f>
        <v>[m3]</v>
      </c>
      <c r="J93" s="111">
        <f>C94-'R. Idriche (letture) '!$C93</f>
        <v>0</v>
      </c>
      <c r="K93" s="111">
        <f t="shared" si="4"/>
        <v>0</v>
      </c>
      <c r="L93" s="111">
        <f>D94-'R. Idriche (letture) '!$D93</f>
        <v>0</v>
      </c>
      <c r="M93" s="111">
        <f t="shared" si="5"/>
        <v>12276</v>
      </c>
      <c r="N93" s="111">
        <f>E94-'R. Idriche (letture) '!$E93</f>
        <v>0</v>
      </c>
      <c r="O93" s="111">
        <f t="shared" si="6"/>
        <v>135134</v>
      </c>
      <c r="P93" s="112">
        <f>F94-'R. Idriche (letture) '!$F93</f>
        <v>0</v>
      </c>
      <c r="Q93" s="112">
        <f t="shared" si="7"/>
        <v>706</v>
      </c>
    </row>
    <row r="94" spans="1:17" ht="15.75" customHeight="1" x14ac:dyDescent="0.25">
      <c r="A94" s="30">
        <v>47634</v>
      </c>
      <c r="B94" s="2" t="s">
        <v>134</v>
      </c>
      <c r="C94" s="7"/>
      <c r="D94" s="7"/>
      <c r="E94" s="7"/>
      <c r="F94" s="11"/>
      <c r="G94" s="2"/>
      <c r="H94" s="35">
        <v>47635</v>
      </c>
      <c r="I94" s="36" t="str">
        <f>'R. Idriche (letture) '!$B94</f>
        <v>[m3]</v>
      </c>
      <c r="J94" s="33">
        <f>C95-'R. Idriche (letture) '!$C94</f>
        <v>0</v>
      </c>
      <c r="K94" s="33">
        <f t="shared" si="4"/>
        <v>0</v>
      </c>
      <c r="L94" s="33">
        <f>D95-'R. Idriche (letture) '!$D94</f>
        <v>0</v>
      </c>
      <c r="M94" s="33">
        <f t="shared" si="5"/>
        <v>12276</v>
      </c>
      <c r="N94" s="33">
        <f>E95-'R. Idriche (letture) '!$E94</f>
        <v>0</v>
      </c>
      <c r="O94" s="33">
        <f t="shared" si="6"/>
        <v>135134</v>
      </c>
      <c r="P94" s="34">
        <f>F95-'R. Idriche (letture) '!$F94</f>
        <v>0</v>
      </c>
      <c r="Q94" s="34">
        <f t="shared" si="7"/>
        <v>706</v>
      </c>
    </row>
    <row r="95" spans="1:17" ht="15.75" customHeight="1" x14ac:dyDescent="0.25">
      <c r="A95" s="30">
        <v>47664</v>
      </c>
      <c r="B95" s="2" t="s">
        <v>134</v>
      </c>
      <c r="C95" s="7"/>
      <c r="D95" s="7"/>
      <c r="E95" s="7"/>
      <c r="F95" s="11"/>
      <c r="G95" s="2"/>
      <c r="H95" s="109">
        <v>47665</v>
      </c>
      <c r="I95" s="110" t="str">
        <f>'R. Idriche (letture) '!$B95</f>
        <v>[m3]</v>
      </c>
      <c r="J95" s="111">
        <f>C96-'R. Idriche (letture) '!$C95</f>
        <v>0</v>
      </c>
      <c r="K95" s="111">
        <f t="shared" si="4"/>
        <v>0</v>
      </c>
      <c r="L95" s="111">
        <f>D96-'R. Idriche (letture) '!$D95</f>
        <v>0</v>
      </c>
      <c r="M95" s="111">
        <f t="shared" si="5"/>
        <v>12276</v>
      </c>
      <c r="N95" s="111">
        <f>E96-'R. Idriche (letture) '!$E95</f>
        <v>0</v>
      </c>
      <c r="O95" s="111">
        <f t="shared" si="6"/>
        <v>135134</v>
      </c>
      <c r="P95" s="112">
        <f>F96-'R. Idriche (letture) '!$F95</f>
        <v>0</v>
      </c>
      <c r="Q95" s="112">
        <f t="shared" si="7"/>
        <v>706</v>
      </c>
    </row>
    <row r="96" spans="1:17" ht="15.75" customHeight="1" x14ac:dyDescent="0.25">
      <c r="A96" s="30">
        <v>47695</v>
      </c>
      <c r="B96" s="2" t="s">
        <v>134</v>
      </c>
      <c r="C96" s="7"/>
      <c r="D96" s="7"/>
      <c r="E96" s="7"/>
      <c r="F96" s="11"/>
      <c r="G96" s="2"/>
      <c r="H96" s="35">
        <v>47696</v>
      </c>
      <c r="I96" s="36" t="str">
        <f>'R. Idriche (letture) '!$B96</f>
        <v>[m3]</v>
      </c>
      <c r="J96" s="33">
        <f>C97-'R. Idriche (letture) '!$C96</f>
        <v>0</v>
      </c>
      <c r="K96" s="33">
        <f t="shared" si="4"/>
        <v>0</v>
      </c>
      <c r="L96" s="33">
        <f>D97-'R. Idriche (letture) '!$D96</f>
        <v>0</v>
      </c>
      <c r="M96" s="33">
        <f t="shared" si="5"/>
        <v>12276</v>
      </c>
      <c r="N96" s="33">
        <f>E97-'R. Idriche (letture) '!$E96</f>
        <v>0</v>
      </c>
      <c r="O96" s="33">
        <f t="shared" si="6"/>
        <v>135134</v>
      </c>
      <c r="P96" s="34">
        <f>F97-'R. Idriche (letture) '!$F96</f>
        <v>0</v>
      </c>
      <c r="Q96" s="34">
        <f t="shared" si="7"/>
        <v>706</v>
      </c>
    </row>
    <row r="97" spans="1:17" ht="15.75" customHeight="1" x14ac:dyDescent="0.25">
      <c r="A97" s="30">
        <v>47726</v>
      </c>
      <c r="B97" s="2" t="s">
        <v>134</v>
      </c>
      <c r="C97" s="7"/>
      <c r="D97" s="7"/>
      <c r="E97" s="7"/>
      <c r="F97" s="11"/>
      <c r="G97" s="2"/>
      <c r="H97" s="109">
        <v>47727</v>
      </c>
      <c r="I97" s="110" t="str">
        <f>'R. Idriche (letture) '!$B97</f>
        <v>[m3]</v>
      </c>
      <c r="J97" s="111">
        <f>C98-'R. Idriche (letture) '!$C97</f>
        <v>0</v>
      </c>
      <c r="K97" s="111">
        <f t="shared" si="4"/>
        <v>0</v>
      </c>
      <c r="L97" s="111">
        <f>D98-'R. Idriche (letture) '!$D97</f>
        <v>0</v>
      </c>
      <c r="M97" s="111">
        <f t="shared" si="5"/>
        <v>12276</v>
      </c>
      <c r="N97" s="111">
        <f>E98-'R. Idriche (letture) '!$E97</f>
        <v>0</v>
      </c>
      <c r="O97" s="111">
        <f t="shared" si="6"/>
        <v>135134</v>
      </c>
      <c r="P97" s="112">
        <f>F98-'R. Idriche (letture) '!$F97</f>
        <v>0</v>
      </c>
      <c r="Q97" s="112">
        <f t="shared" si="7"/>
        <v>706</v>
      </c>
    </row>
    <row r="98" spans="1:17" ht="15.75" customHeight="1" x14ac:dyDescent="0.25">
      <c r="A98" s="30">
        <v>47756</v>
      </c>
      <c r="B98" s="2" t="s">
        <v>134</v>
      </c>
      <c r="C98" s="7"/>
      <c r="D98" s="7"/>
      <c r="E98" s="7"/>
      <c r="F98" s="11"/>
      <c r="G98" s="2"/>
      <c r="H98" s="35">
        <v>47757</v>
      </c>
      <c r="I98" s="36" t="str">
        <f>'R. Idriche (letture) '!$B98</f>
        <v>[m3]</v>
      </c>
      <c r="J98" s="33">
        <f>C99-'R. Idriche (letture) '!$C98</f>
        <v>0</v>
      </c>
      <c r="K98" s="33">
        <f t="shared" si="4"/>
        <v>0</v>
      </c>
      <c r="L98" s="33">
        <f>D99-'R. Idriche (letture) '!$D98</f>
        <v>0</v>
      </c>
      <c r="M98" s="33">
        <f t="shared" si="5"/>
        <v>12276</v>
      </c>
      <c r="N98" s="33">
        <f>E99-'R. Idriche (letture) '!$E98</f>
        <v>0</v>
      </c>
      <c r="O98" s="33">
        <f t="shared" si="6"/>
        <v>135134</v>
      </c>
      <c r="P98" s="34">
        <f>F99-'R. Idriche (letture) '!$F98</f>
        <v>0</v>
      </c>
      <c r="Q98" s="34">
        <f t="shared" si="7"/>
        <v>706</v>
      </c>
    </row>
    <row r="99" spans="1:17" ht="15.75" customHeight="1" x14ac:dyDescent="0.25">
      <c r="A99" s="30">
        <v>47787</v>
      </c>
      <c r="B99" s="2" t="s">
        <v>134</v>
      </c>
      <c r="C99" s="7"/>
      <c r="D99" s="7"/>
      <c r="E99" s="7"/>
      <c r="F99" s="11"/>
      <c r="G99" s="2"/>
      <c r="H99" s="109">
        <v>47788</v>
      </c>
      <c r="I99" s="110" t="str">
        <f>'R. Idriche (letture) '!$B99</f>
        <v>[m3]</v>
      </c>
      <c r="J99" s="111">
        <f>C100-'R. Idriche (letture) '!$C99</f>
        <v>0</v>
      </c>
      <c r="K99" s="111">
        <f t="shared" si="4"/>
        <v>0</v>
      </c>
      <c r="L99" s="111">
        <f>D100-'R. Idriche (letture) '!$D99</f>
        <v>0</v>
      </c>
      <c r="M99" s="111">
        <f t="shared" si="5"/>
        <v>12276</v>
      </c>
      <c r="N99" s="111">
        <f>E100-'R. Idriche (letture) '!$E99</f>
        <v>0</v>
      </c>
      <c r="O99" s="111">
        <f t="shared" si="6"/>
        <v>135134</v>
      </c>
      <c r="P99" s="112">
        <f>F100-'R. Idriche (letture) '!$F99</f>
        <v>0</v>
      </c>
      <c r="Q99" s="112">
        <f t="shared" si="7"/>
        <v>706</v>
      </c>
    </row>
    <row r="100" spans="1:17" ht="15.75" customHeight="1" x14ac:dyDescent="0.25">
      <c r="A100" s="30">
        <v>47817</v>
      </c>
      <c r="B100" s="2" t="s">
        <v>134</v>
      </c>
      <c r="C100" s="7"/>
      <c r="D100" s="7"/>
      <c r="E100" s="7"/>
      <c r="F100" s="11"/>
      <c r="G100" s="2"/>
      <c r="H100" s="35">
        <v>47818</v>
      </c>
      <c r="I100" s="36" t="str">
        <f>'R. Idriche (letture) '!$B100</f>
        <v>[m3]</v>
      </c>
      <c r="J100" s="121">
        <f>C101-'R. Idriche (letture) '!$C100</f>
        <v>0</v>
      </c>
      <c r="K100" s="121">
        <f t="shared" si="4"/>
        <v>0</v>
      </c>
      <c r="L100" s="121">
        <f>D101-'R. Idriche (letture) '!$D100</f>
        <v>0</v>
      </c>
      <c r="M100" s="121">
        <f t="shared" si="5"/>
        <v>12276</v>
      </c>
      <c r="N100" s="121">
        <f>E101-'R. Idriche (letture) '!$E100</f>
        <v>0</v>
      </c>
      <c r="O100" s="121">
        <f t="shared" si="6"/>
        <v>135134</v>
      </c>
      <c r="P100" s="122">
        <f>F101-'R. Idriche (letture) '!$F100</f>
        <v>0</v>
      </c>
      <c r="Q100" s="122">
        <f t="shared" si="7"/>
        <v>706</v>
      </c>
    </row>
    <row r="101" spans="1:17" ht="15.75" customHeight="1" x14ac:dyDescent="0.25">
      <c r="A101" s="30">
        <v>47848</v>
      </c>
      <c r="B101" s="2" t="s">
        <v>134</v>
      </c>
      <c r="C101" s="7"/>
      <c r="D101" s="7"/>
      <c r="E101" s="7"/>
      <c r="F101" s="1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</sheetData>
  <mergeCells count="4">
    <mergeCell ref="N4:O4"/>
    <mergeCell ref="P4:Q4"/>
    <mergeCell ref="J4:K4"/>
    <mergeCell ref="L4:M4"/>
  </mergeCells>
  <pageMargins left="0.70866141732283472" right="0.70866141732283472" top="0.74803149606299213" bottom="0.74803149606299213" header="0" footer="0"/>
  <pageSetup paperSize="9" orientation="landscape"/>
  <headerFooter>
    <oddFooter>&amp;L&amp;A&amp;R&amp;F</oddFooter>
  </headerFooter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8D08D"/>
  </sheetPr>
  <dimension ref="A1:O93"/>
  <sheetViews>
    <sheetView showGridLines="0" workbookViewId="0">
      <selection activeCell="I37" sqref="I37"/>
    </sheetView>
  </sheetViews>
  <sheetFormatPr defaultColWidth="14.42578125" defaultRowHeight="15" customHeight="1" x14ac:dyDescent="0.25"/>
  <cols>
    <col min="1" max="1" width="12.7109375" style="98" customWidth="1"/>
    <col min="2" max="4" width="18.7109375" style="98" customWidth="1"/>
    <col min="5" max="5" width="12.7109375" style="98" customWidth="1"/>
    <col min="6" max="6" width="6.7109375" style="98" customWidth="1"/>
    <col min="7" max="15" width="12.7109375" style="98" customWidth="1"/>
    <col min="16" max="26" width="8.7109375" style="98" customWidth="1"/>
    <col min="27" max="16384" width="14.42578125" style="98"/>
  </cols>
  <sheetData>
    <row r="1" spans="1:15" x14ac:dyDescent="0.25">
      <c r="A1" s="135" t="s">
        <v>147</v>
      </c>
      <c r="B1" s="123"/>
      <c r="C1" s="123"/>
      <c r="D1" s="123"/>
      <c r="E1" s="130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x14ac:dyDescent="0.25">
      <c r="A2" s="135"/>
      <c r="B2" s="123"/>
      <c r="C2" s="123"/>
      <c r="D2" s="123"/>
      <c r="E2" s="130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5" x14ac:dyDescent="0.25">
      <c r="A3" s="131" t="s">
        <v>148</v>
      </c>
      <c r="B3" s="123"/>
      <c r="C3" s="123"/>
      <c r="D3" s="123"/>
      <c r="E3" s="130"/>
      <c r="F3" s="132"/>
      <c r="G3" s="131" t="s">
        <v>149</v>
      </c>
      <c r="H3" s="123"/>
      <c r="I3" s="123"/>
      <c r="J3" s="123"/>
      <c r="K3" s="132"/>
      <c r="L3" s="132"/>
      <c r="M3" s="132"/>
      <c r="N3" s="132"/>
      <c r="O3" s="123"/>
    </row>
    <row r="4" spans="1:15" ht="60" x14ac:dyDescent="0.25">
      <c r="A4" s="123" t="s">
        <v>3</v>
      </c>
      <c r="B4" s="124" t="s">
        <v>150</v>
      </c>
      <c r="C4" s="124" t="s">
        <v>479</v>
      </c>
      <c r="D4" s="124" t="s">
        <v>151</v>
      </c>
      <c r="E4" s="125" t="s">
        <v>5</v>
      </c>
      <c r="F4" s="123"/>
      <c r="G4" s="123" t="s">
        <v>3</v>
      </c>
      <c r="H4" s="124" t="s">
        <v>51</v>
      </c>
      <c r="I4" s="124" t="s">
        <v>152</v>
      </c>
      <c r="J4" s="124" t="s">
        <v>52</v>
      </c>
      <c r="K4" s="124" t="s">
        <v>153</v>
      </c>
      <c r="L4" s="124" t="s">
        <v>53</v>
      </c>
      <c r="M4" s="124" t="s">
        <v>154</v>
      </c>
      <c r="N4" s="124" t="s">
        <v>54</v>
      </c>
      <c r="O4" s="124" t="s">
        <v>155</v>
      </c>
    </row>
    <row r="5" spans="1:15" x14ac:dyDescent="0.25">
      <c r="A5" s="123">
        <v>2011</v>
      </c>
      <c r="B5" s="126">
        <f>'R. Energetiche-Comb. (letture)'!$C15/1000</f>
        <v>6814</v>
      </c>
      <c r="C5" s="126">
        <f>'R. Energetiche-Comb. (letture)'!$C32/1000</f>
        <v>0</v>
      </c>
      <c r="D5" s="126">
        <f>'7. Risorse Energetiche'!$B5+'7. Risorse Energetiche'!$C5</f>
        <v>6814</v>
      </c>
      <c r="E5" s="134"/>
      <c r="F5" s="123"/>
      <c r="G5" s="123">
        <v>2011</v>
      </c>
      <c r="H5" s="128">
        <v>0.11</v>
      </c>
      <c r="I5" s="126">
        <f>'7. Risorse Energetiche'!$H5*'7. Risorse Energetiche'!$D5</f>
        <v>749.54</v>
      </c>
      <c r="J5" s="128">
        <v>0.56000000000000005</v>
      </c>
      <c r="K5" s="126">
        <f>'7. Risorse Energetiche'!$J5*'7. Risorse Energetiche'!$D5</f>
        <v>3815.84</v>
      </c>
      <c r="L5" s="128"/>
      <c r="M5" s="126">
        <f>'7. Risorse Energetiche'!$L5*'7. Risorse Energetiche'!$D5</f>
        <v>0</v>
      </c>
      <c r="N5" s="128">
        <f>1-('7. Risorse Energetiche'!$H5+'7. Risorse Energetiche'!$J5+'7. Risorse Energetiche'!$L5)</f>
        <v>0.32999999999999996</v>
      </c>
      <c r="O5" s="126">
        <f>'7. Risorse Energetiche'!$N5*'7. Risorse Energetiche'!$D5</f>
        <v>2248.62</v>
      </c>
    </row>
    <row r="6" spans="1:15" x14ac:dyDescent="0.25">
      <c r="A6" s="123">
        <v>2012</v>
      </c>
      <c r="B6" s="126">
        <f>'R. Energetiche-Comb. (letture)'!$D15/1000</f>
        <v>0</v>
      </c>
      <c r="C6" s="126">
        <f>'R. Energetiche-Comb. (letture)'!$D32/1000</f>
        <v>0</v>
      </c>
      <c r="D6" s="126">
        <f>'7. Risorse Energetiche'!$B6+'7. Risorse Energetiche'!$C6</f>
        <v>0</v>
      </c>
      <c r="E6" s="134"/>
      <c r="F6" s="123"/>
      <c r="G6" s="123">
        <v>2012</v>
      </c>
      <c r="H6" s="128">
        <v>0.11</v>
      </c>
      <c r="I6" s="126">
        <f>'7. Risorse Energetiche'!$H6*'7. Risorse Energetiche'!$D6</f>
        <v>0</v>
      </c>
      <c r="J6" s="128">
        <v>0.56000000000000005</v>
      </c>
      <c r="K6" s="126">
        <f>'7. Risorse Energetiche'!$J6*'7. Risorse Energetiche'!$D6</f>
        <v>0</v>
      </c>
      <c r="L6" s="128"/>
      <c r="M6" s="126">
        <f>'7. Risorse Energetiche'!$L6*'7. Risorse Energetiche'!$D6</f>
        <v>0</v>
      </c>
      <c r="N6" s="128">
        <f>1-('7. Risorse Energetiche'!$H6+'7. Risorse Energetiche'!$J6+'7. Risorse Energetiche'!$L6)</f>
        <v>0.32999999999999996</v>
      </c>
      <c r="O6" s="126">
        <f>'7. Risorse Energetiche'!$N6*'7. Risorse Energetiche'!$D6</f>
        <v>0</v>
      </c>
    </row>
    <row r="7" spans="1:15" x14ac:dyDescent="0.25">
      <c r="A7" s="123">
        <v>2013</v>
      </c>
      <c r="B7" s="126">
        <f>'R. Energetiche-Comb. (letture)'!$E15/1000</f>
        <v>6352.9309999999996</v>
      </c>
      <c r="C7" s="126">
        <f>'R. Energetiche-Comb. (letture)'!$E32/1000</f>
        <v>0</v>
      </c>
      <c r="D7" s="126">
        <f>'7. Risorse Energetiche'!$B7+'7. Risorse Energetiche'!$C7</f>
        <v>6352.9309999999996</v>
      </c>
      <c r="E7" s="134"/>
      <c r="F7" s="123"/>
      <c r="G7" s="123">
        <v>2013</v>
      </c>
      <c r="H7" s="128">
        <v>0.11</v>
      </c>
      <c r="I7" s="126">
        <f>'7. Risorse Energetiche'!$H7*'7. Risorse Energetiche'!$D7</f>
        <v>698.82240999999999</v>
      </c>
      <c r="J7" s="128">
        <v>0.56000000000000005</v>
      </c>
      <c r="K7" s="126">
        <f>'7. Risorse Energetiche'!$J7*'7. Risorse Energetiche'!$D7</f>
        <v>3557.6413600000001</v>
      </c>
      <c r="L7" s="128"/>
      <c r="M7" s="126">
        <f>'7. Risorse Energetiche'!$L7*'7. Risorse Energetiche'!$D7</f>
        <v>0</v>
      </c>
      <c r="N7" s="128">
        <f>1-('7. Risorse Energetiche'!$H7+'7. Risorse Energetiche'!$J7+'7. Risorse Energetiche'!$L7)</f>
        <v>0.32999999999999996</v>
      </c>
      <c r="O7" s="126">
        <f>'7. Risorse Energetiche'!$N7*'7. Risorse Energetiche'!$D7</f>
        <v>2096.4672299999997</v>
      </c>
    </row>
    <row r="8" spans="1:15" x14ac:dyDescent="0.25">
      <c r="A8" s="123">
        <v>2014</v>
      </c>
      <c r="B8" s="126">
        <f>'R. Energetiche-Comb. (letture)'!$F15/1000</f>
        <v>6597.8819999999996</v>
      </c>
      <c r="C8" s="126">
        <f>'R. Energetiche-Comb. (letture)'!$F32/1000</f>
        <v>0</v>
      </c>
      <c r="D8" s="126">
        <f>'7. Risorse Energetiche'!$B8+'7. Risorse Energetiche'!$C8</f>
        <v>6597.8819999999996</v>
      </c>
      <c r="E8" s="127">
        <f>('7. Risorse Energetiche'!$D8-D7)/D7</f>
        <v>3.8557163614715798E-2</v>
      </c>
      <c r="F8" s="123"/>
      <c r="G8" s="123">
        <v>2014</v>
      </c>
      <c r="H8" s="128">
        <v>0.11</v>
      </c>
      <c r="I8" s="126">
        <f>'7. Risorse Energetiche'!$H8*'7. Risorse Energetiche'!$D8</f>
        <v>725.76702</v>
      </c>
      <c r="J8" s="128">
        <v>0.56000000000000005</v>
      </c>
      <c r="K8" s="126">
        <f>'7. Risorse Energetiche'!$J8*'7. Risorse Energetiche'!$D8</f>
        <v>3694.8139200000001</v>
      </c>
      <c r="L8" s="128"/>
      <c r="M8" s="126">
        <f>'7. Risorse Energetiche'!$L8*'7. Risorse Energetiche'!$D8</f>
        <v>0</v>
      </c>
      <c r="N8" s="128">
        <f>1-('7. Risorse Energetiche'!$H8+'7. Risorse Energetiche'!$J8+'7. Risorse Energetiche'!$L8)</f>
        <v>0.32999999999999996</v>
      </c>
      <c r="O8" s="126">
        <f>'7. Risorse Energetiche'!$N8*'7. Risorse Energetiche'!$D8</f>
        <v>2177.3010599999998</v>
      </c>
    </row>
    <row r="9" spans="1:15" x14ac:dyDescent="0.25">
      <c r="A9" s="123">
        <v>2015</v>
      </c>
      <c r="B9" s="126">
        <f>'R. Energetiche-Comb. (letture)'!$G15/1000</f>
        <v>6458.4549999999999</v>
      </c>
      <c r="C9" s="126">
        <f>'R. Energetiche-Comb. (letture)'!$G32/1000</f>
        <v>0</v>
      </c>
      <c r="D9" s="126">
        <f>'7. Risorse Energetiche'!$B9+'7. Risorse Energetiche'!$C9</f>
        <v>6458.4549999999999</v>
      </c>
      <c r="E9" s="127">
        <f>('7. Risorse Energetiche'!$D9-D8)/D8</f>
        <v>-2.1132084508331567E-2</v>
      </c>
      <c r="F9" s="123"/>
      <c r="G9" s="123">
        <v>2015</v>
      </c>
      <c r="H9" s="128">
        <v>0.11</v>
      </c>
      <c r="I9" s="126">
        <f>'7. Risorse Energetiche'!$H9*'7. Risorse Energetiche'!$D9</f>
        <v>710.43005000000005</v>
      </c>
      <c r="J9" s="128">
        <v>0.56000000000000005</v>
      </c>
      <c r="K9" s="126">
        <f>'7. Risorse Energetiche'!$J9*'7. Risorse Energetiche'!$D9</f>
        <v>3616.7348000000002</v>
      </c>
      <c r="L9" s="128"/>
      <c r="M9" s="126">
        <f>'7. Risorse Energetiche'!$L9*'7. Risorse Energetiche'!$D9</f>
        <v>0</v>
      </c>
      <c r="N9" s="128">
        <f>1-('7. Risorse Energetiche'!$H9+'7. Risorse Energetiche'!$J9+'7. Risorse Energetiche'!$L9)</f>
        <v>0.32999999999999996</v>
      </c>
      <c r="O9" s="126">
        <f>'7. Risorse Energetiche'!$N9*'7. Risorse Energetiche'!$D9</f>
        <v>2131.2901499999998</v>
      </c>
    </row>
    <row r="10" spans="1:15" x14ac:dyDescent="0.25">
      <c r="A10" s="123">
        <v>2016</v>
      </c>
      <c r="B10" s="126">
        <f>'R. Energetiche-Comb. (letture)'!$H15/1000</f>
        <v>6519.0649999999996</v>
      </c>
      <c r="C10" s="126">
        <f>'R. Energetiche-Comb. (letture)'!$H32/1000</f>
        <v>0</v>
      </c>
      <c r="D10" s="126">
        <f>'7. Risorse Energetiche'!$B10+'7. Risorse Energetiche'!$C10</f>
        <v>6519.0649999999996</v>
      </c>
      <c r="E10" s="127">
        <f>('7. Risorse Energetiche'!$D10-D9)/D9</f>
        <v>9.3845973998424818E-3</v>
      </c>
      <c r="F10" s="123"/>
      <c r="G10" s="123">
        <v>2016</v>
      </c>
      <c r="H10" s="128">
        <v>0.11</v>
      </c>
      <c r="I10" s="126">
        <f>'7. Risorse Energetiche'!$H10*'7. Risorse Energetiche'!$D10</f>
        <v>717.09714999999994</v>
      </c>
      <c r="J10" s="128">
        <v>0.56000000000000005</v>
      </c>
      <c r="K10" s="126">
        <f>'7. Risorse Energetiche'!$J10*'7. Risorse Energetiche'!$D10</f>
        <v>3650.6764000000003</v>
      </c>
      <c r="L10" s="128"/>
      <c r="M10" s="126">
        <f>'7. Risorse Energetiche'!$L10*'7. Risorse Energetiche'!$D10</f>
        <v>0</v>
      </c>
      <c r="N10" s="128">
        <f>1-('7. Risorse Energetiche'!$H10+'7. Risorse Energetiche'!$J10+'7. Risorse Energetiche'!$L10)</f>
        <v>0.32999999999999996</v>
      </c>
      <c r="O10" s="126">
        <f>'7. Risorse Energetiche'!$N10*'7. Risorse Energetiche'!$D10</f>
        <v>2151.2914499999997</v>
      </c>
    </row>
    <row r="11" spans="1:15" x14ac:dyDescent="0.25">
      <c r="A11" s="123">
        <v>2017</v>
      </c>
      <c r="B11" s="126">
        <f>'R. Energetiche-Comb. (letture)'!$I15/1000</f>
        <v>6886.6120000000001</v>
      </c>
      <c r="C11" s="126">
        <f>'R. Energetiche-Comb. (letture)'!$I32/1000</f>
        <v>0</v>
      </c>
      <c r="D11" s="126">
        <f>'7. Risorse Energetiche'!$B11+'7. Risorse Energetiche'!$C11</f>
        <v>6886.6120000000001</v>
      </c>
      <c r="E11" s="127">
        <f>('7. Risorse Energetiche'!$D11-D10)/D10</f>
        <v>5.6380324479047304E-2</v>
      </c>
      <c r="F11" s="123"/>
      <c r="G11" s="123">
        <v>2017</v>
      </c>
      <c r="H11" s="128">
        <v>0.11</v>
      </c>
      <c r="I11" s="126">
        <f>'7. Risorse Energetiche'!$H11*'7. Risorse Energetiche'!$D11</f>
        <v>757.52732000000003</v>
      </c>
      <c r="J11" s="128">
        <v>0.56000000000000005</v>
      </c>
      <c r="K11" s="126">
        <f>'7. Risorse Energetiche'!$J11*'7. Risorse Energetiche'!$D11</f>
        <v>3856.5027200000004</v>
      </c>
      <c r="L11" s="128"/>
      <c r="M11" s="126">
        <f>'7. Risorse Energetiche'!$L11*'7. Risorse Energetiche'!$D11</f>
        <v>0</v>
      </c>
      <c r="N11" s="128">
        <f>1-('7. Risorse Energetiche'!$H11+'7. Risorse Energetiche'!$J11+'7. Risorse Energetiche'!$L11)</f>
        <v>0.32999999999999996</v>
      </c>
      <c r="O11" s="126">
        <f>'7. Risorse Energetiche'!$N11*'7. Risorse Energetiche'!$D11</f>
        <v>2272.5819599999995</v>
      </c>
    </row>
    <row r="12" spans="1:15" x14ac:dyDescent="0.25">
      <c r="A12" s="123">
        <v>2018</v>
      </c>
      <c r="B12" s="126">
        <f>'R. Energetiche-Comb. (letture)'!$J15/1000</f>
        <v>6357.4449999999997</v>
      </c>
      <c r="C12" s="126">
        <f>'R. Energetiche-Comb. (letture)'!$J32/1000</f>
        <v>0</v>
      </c>
      <c r="D12" s="126">
        <f>'7. Risorse Energetiche'!$B12+'7. Risorse Energetiche'!$C12</f>
        <v>6357.4449999999997</v>
      </c>
      <c r="E12" s="127">
        <f>('7. Risorse Energetiche'!$D12-D11)/D11</f>
        <v>-7.6839961362713677E-2</v>
      </c>
      <c r="F12" s="123"/>
      <c r="G12" s="123">
        <v>2018</v>
      </c>
      <c r="H12" s="128">
        <v>0.11</v>
      </c>
      <c r="I12" s="126">
        <f>'7. Risorse Energetiche'!$H12*'7. Risorse Energetiche'!$D12</f>
        <v>699.31894999999997</v>
      </c>
      <c r="J12" s="128">
        <v>0.56000000000000005</v>
      </c>
      <c r="K12" s="126">
        <f>'7. Risorse Energetiche'!$J12*'7. Risorse Energetiche'!$D12</f>
        <v>3560.1692000000003</v>
      </c>
      <c r="L12" s="128"/>
      <c r="M12" s="126">
        <f>'7. Risorse Energetiche'!$L12*'7. Risorse Energetiche'!$D12</f>
        <v>0</v>
      </c>
      <c r="N12" s="128">
        <f>1-('7. Risorse Energetiche'!$H12+'7. Risorse Energetiche'!$J12+'7. Risorse Energetiche'!$L12)</f>
        <v>0.32999999999999996</v>
      </c>
      <c r="O12" s="126">
        <f>'7. Risorse Energetiche'!$N12*'7. Risorse Energetiche'!$D12</f>
        <v>2097.9568499999996</v>
      </c>
    </row>
    <row r="13" spans="1:15" x14ac:dyDescent="0.25">
      <c r="A13" s="123">
        <v>2019</v>
      </c>
      <c r="B13" s="126">
        <f>'R. Energetiche-Comb. (letture)'!$K15/1000</f>
        <v>6087.0039999999999</v>
      </c>
      <c r="C13" s="126">
        <f>'R. Energetiche-Comb. (letture)'!$K32/1000</f>
        <v>0</v>
      </c>
      <c r="D13" s="126">
        <f>'7. Risorse Energetiche'!$B13+'7. Risorse Energetiche'!$C13</f>
        <v>6087.0039999999999</v>
      </c>
      <c r="E13" s="127">
        <f>('7. Risorse Energetiche'!$D13-D12)/D12</f>
        <v>-4.253925908914663E-2</v>
      </c>
      <c r="F13" s="123"/>
      <c r="G13" s="123">
        <v>2019</v>
      </c>
      <c r="H13" s="128">
        <v>0.11</v>
      </c>
      <c r="I13" s="126">
        <f>'7. Risorse Energetiche'!$H13*'7. Risorse Energetiche'!$D13</f>
        <v>669.57043999999996</v>
      </c>
      <c r="J13" s="128">
        <v>0.56000000000000005</v>
      </c>
      <c r="K13" s="126">
        <f>'7. Risorse Energetiche'!$J13*'7. Risorse Energetiche'!$D13</f>
        <v>3408.7222400000001</v>
      </c>
      <c r="L13" s="128"/>
      <c r="M13" s="126">
        <f>'7. Risorse Energetiche'!$L13*'7. Risorse Energetiche'!$D13</f>
        <v>0</v>
      </c>
      <c r="N13" s="128">
        <f>1-('7. Risorse Energetiche'!$H13+'7. Risorse Energetiche'!$J13+'7. Risorse Energetiche'!$L13)</f>
        <v>0.32999999999999996</v>
      </c>
      <c r="O13" s="126">
        <f>'7. Risorse Energetiche'!$N13*'7. Risorse Energetiche'!$D13</f>
        <v>2008.7113199999997</v>
      </c>
    </row>
    <row r="14" spans="1:15" x14ac:dyDescent="0.25">
      <c r="A14" s="123">
        <v>2020</v>
      </c>
      <c r="B14" s="126">
        <f>'R. Energetiche-Comb. (letture)'!$L15/1000</f>
        <v>3776.01</v>
      </c>
      <c r="C14" s="126">
        <f>'R. Energetiche-Comb. (letture)'!$L32/1000</f>
        <v>409.22400000000005</v>
      </c>
      <c r="D14" s="126">
        <f>'7. Risorse Energetiche'!$B14+'7. Risorse Energetiche'!$C14</f>
        <v>4185.2340000000004</v>
      </c>
      <c r="E14" s="127">
        <f>('7. Risorse Energetiche'!$D14-D13)/D13</f>
        <v>-0.3124312058937368</v>
      </c>
      <c r="F14" s="123"/>
      <c r="G14" s="123">
        <v>2020</v>
      </c>
      <c r="H14" s="128">
        <v>0.11</v>
      </c>
      <c r="I14" s="126">
        <f>'7. Risorse Energetiche'!$H14*'7. Risorse Energetiche'!$D14</f>
        <v>460.37574000000006</v>
      </c>
      <c r="J14" s="128">
        <v>0.56000000000000005</v>
      </c>
      <c r="K14" s="126">
        <f>'7. Risorse Energetiche'!$J14*'7. Risorse Energetiche'!$D14</f>
        <v>2343.7310400000006</v>
      </c>
      <c r="L14" s="128"/>
      <c r="M14" s="126">
        <f>'7. Risorse Energetiche'!$L14*'7. Risorse Energetiche'!$D14</f>
        <v>0</v>
      </c>
      <c r="N14" s="128">
        <f>1-('7. Risorse Energetiche'!$H14+'7. Risorse Energetiche'!$J14+'7. Risorse Energetiche'!$L14)</f>
        <v>0.32999999999999996</v>
      </c>
      <c r="O14" s="126">
        <f>'7. Risorse Energetiche'!$N14*'7. Risorse Energetiche'!$D14</f>
        <v>1381.1272199999999</v>
      </c>
    </row>
    <row r="15" spans="1:15" x14ac:dyDescent="0.25">
      <c r="A15" s="123">
        <v>2021</v>
      </c>
      <c r="B15" s="126">
        <f>'R. Energetiche-Comb. (letture)'!$M15/1000</f>
        <v>4626.3819999999996</v>
      </c>
      <c r="C15" s="126">
        <f>'R. Energetiche-Comb. (letture)'!$M32/1000</f>
        <v>469.13800000000003</v>
      </c>
      <c r="D15" s="126">
        <f>'7. Risorse Energetiche'!$B15+'7. Risorse Energetiche'!$C15</f>
        <v>5095.5199999999995</v>
      </c>
      <c r="E15" s="127">
        <f>('7. Risorse Energetiche'!$D15-D14)/D14</f>
        <v>0.21749942775003717</v>
      </c>
      <c r="F15" s="123"/>
      <c r="G15" s="123">
        <v>2021</v>
      </c>
      <c r="H15" s="128">
        <v>0.11</v>
      </c>
      <c r="I15" s="126">
        <f>'7. Risorse Energetiche'!$H15*'7. Risorse Energetiche'!$D15</f>
        <v>560.5071999999999</v>
      </c>
      <c r="J15" s="128">
        <v>0.56000000000000005</v>
      </c>
      <c r="K15" s="126">
        <f>'7. Risorse Energetiche'!$J15*'7. Risorse Energetiche'!$D15</f>
        <v>2853.4911999999999</v>
      </c>
      <c r="L15" s="128"/>
      <c r="M15" s="126">
        <f>'7. Risorse Energetiche'!$L15*'7. Risorse Energetiche'!$D15</f>
        <v>0</v>
      </c>
      <c r="N15" s="128">
        <f>1-('7. Risorse Energetiche'!$H15+'7. Risorse Energetiche'!$J15+'7. Risorse Energetiche'!$L15)</f>
        <v>0.32999999999999996</v>
      </c>
      <c r="O15" s="126">
        <f>'7. Risorse Energetiche'!$N15*'7. Risorse Energetiche'!$D15</f>
        <v>1681.5215999999996</v>
      </c>
    </row>
    <row r="16" spans="1:15" x14ac:dyDescent="0.25">
      <c r="A16" s="123">
        <v>2022</v>
      </c>
      <c r="B16" s="126">
        <f>'R. Energetiche-Comb. (letture)'!$N15/1000</f>
        <v>4951.3829999999998</v>
      </c>
      <c r="C16" s="126">
        <f>'R. Energetiche-Comb. (letture)'!$N32/1000</f>
        <v>470.76099999999997</v>
      </c>
      <c r="D16" s="126">
        <f>'7. Risorse Energetiche'!$B16+'7. Risorse Energetiche'!$C16</f>
        <v>5422.1440000000002</v>
      </c>
      <c r="E16" s="127">
        <f>('7. Risorse Energetiche'!$D16-D15)/D15</f>
        <v>6.4100229220962868E-2</v>
      </c>
      <c r="F16" s="123"/>
      <c r="G16" s="123">
        <v>2022</v>
      </c>
      <c r="H16" s="128">
        <v>0.11</v>
      </c>
      <c r="I16" s="126">
        <f>'7. Risorse Energetiche'!$H16*'7. Risorse Energetiche'!$D16</f>
        <v>596.43583999999998</v>
      </c>
      <c r="J16" s="128">
        <v>0.56000000000000005</v>
      </c>
      <c r="K16" s="126">
        <f>'7. Risorse Energetiche'!$J16*'7. Risorse Energetiche'!$D16</f>
        <v>3036.4006400000003</v>
      </c>
      <c r="L16" s="128"/>
      <c r="M16" s="126">
        <f>'7. Risorse Energetiche'!$L16*'7. Risorse Energetiche'!$D16</f>
        <v>0</v>
      </c>
      <c r="N16" s="128">
        <f>1-('7. Risorse Energetiche'!$H16+'7. Risorse Energetiche'!$J16+'7. Risorse Energetiche'!$L16)</f>
        <v>0.32999999999999996</v>
      </c>
      <c r="O16" s="126">
        <f>'7. Risorse Energetiche'!$N16*'7. Risorse Energetiche'!$D16</f>
        <v>1789.3075199999998</v>
      </c>
    </row>
    <row r="17" spans="1:15" x14ac:dyDescent="0.25">
      <c r="A17" s="123">
        <v>2023</v>
      </c>
      <c r="B17" s="126">
        <f>'R. Energetiche-Comb. (letture)'!$O15/1000</f>
        <v>3932.26</v>
      </c>
      <c r="C17" s="126">
        <f>'R. Energetiche-Comb. (letture)'!$O32/1000</f>
        <v>449.55249999999995</v>
      </c>
      <c r="D17" s="126">
        <f>'7. Risorse Energetiche'!$B17+'7. Risorse Energetiche'!$C17</f>
        <v>4381.8125</v>
      </c>
      <c r="E17" s="127">
        <f>('7. Risorse Energetiche'!$D17-D16)/D16</f>
        <v>-0.19186718390363669</v>
      </c>
      <c r="F17" s="123"/>
      <c r="G17" s="123">
        <v>2023</v>
      </c>
      <c r="H17" s="128">
        <v>0.11</v>
      </c>
      <c r="I17" s="126">
        <f>'7. Risorse Energetiche'!$H17*'7. Risorse Energetiche'!$D17</f>
        <v>481.99937499999999</v>
      </c>
      <c r="J17" s="128">
        <v>0.56000000000000005</v>
      </c>
      <c r="K17" s="126">
        <f>'7. Risorse Energetiche'!$J17*'7. Risorse Energetiche'!$D17</f>
        <v>2453.8150000000001</v>
      </c>
      <c r="L17" s="128"/>
      <c r="M17" s="126">
        <f>'7. Risorse Energetiche'!$L17*'7. Risorse Energetiche'!$D17</f>
        <v>0</v>
      </c>
      <c r="N17" s="128">
        <f>1-('7. Risorse Energetiche'!$H17+'7. Risorse Energetiche'!$J17+'7. Risorse Energetiche'!$L17)</f>
        <v>0.32999999999999996</v>
      </c>
      <c r="O17" s="126">
        <f>'7. Risorse Energetiche'!$N17*'7. Risorse Energetiche'!$D17</f>
        <v>1445.9981249999998</v>
      </c>
    </row>
    <row r="18" spans="1:15" x14ac:dyDescent="0.25">
      <c r="A18" s="123">
        <v>2024</v>
      </c>
      <c r="B18" s="126">
        <f>'R. Energetiche-Comb. (letture)'!$P15/1000</f>
        <v>3501.1930000000002</v>
      </c>
      <c r="C18" s="126">
        <f>'R. Energetiche-Comb. (letture)'!$P32/1000</f>
        <v>348.27800000000002</v>
      </c>
      <c r="D18" s="126">
        <f>'7. Risorse Energetiche'!$B18+'7. Risorse Energetiche'!$C18</f>
        <v>3849.4710000000005</v>
      </c>
      <c r="E18" s="127">
        <f>('7. Risorse Energetiche'!$D18-D17)/D17</f>
        <v>-0.12148888159865343</v>
      </c>
      <c r="F18" s="123"/>
      <c r="G18" s="123">
        <v>2024</v>
      </c>
      <c r="H18" s="128">
        <v>0.14000000000000001</v>
      </c>
      <c r="I18" s="126">
        <f>'7. Risorse Energetiche'!$H18*'7. Risorse Energetiche'!$D18</f>
        <v>538.92594000000008</v>
      </c>
      <c r="J18" s="128">
        <v>0.52</v>
      </c>
      <c r="K18" s="126">
        <f>'7. Risorse Energetiche'!$J18*'7. Risorse Energetiche'!$D18</f>
        <v>2001.7249200000003</v>
      </c>
      <c r="L18" s="128"/>
      <c r="M18" s="126">
        <f>'7. Risorse Energetiche'!$L18*'7. Risorse Energetiche'!$D18</f>
        <v>0</v>
      </c>
      <c r="N18" s="128">
        <f>1-('7. Risorse Energetiche'!$H18+'7. Risorse Energetiche'!$J18+'7. Risorse Energetiche'!$L18)</f>
        <v>0.33999999999999997</v>
      </c>
      <c r="O18" s="126">
        <f>'7. Risorse Energetiche'!$N18*'7. Risorse Energetiche'!$D18</f>
        <v>1308.82014</v>
      </c>
    </row>
    <row r="19" spans="1:15" x14ac:dyDescent="0.25">
      <c r="A19" s="123">
        <v>2025</v>
      </c>
      <c r="B19" s="126"/>
      <c r="C19" s="126"/>
      <c r="D19" s="126"/>
      <c r="E19" s="127"/>
      <c r="F19" s="123"/>
      <c r="G19" s="123">
        <v>2025</v>
      </c>
      <c r="H19" s="128"/>
      <c r="I19" s="126"/>
      <c r="J19" s="128"/>
      <c r="K19" s="126"/>
      <c r="L19" s="128"/>
      <c r="M19" s="126"/>
      <c r="N19" s="128"/>
      <c r="O19" s="126"/>
    </row>
    <row r="20" spans="1:15" x14ac:dyDescent="0.25">
      <c r="A20" s="123">
        <v>2026</v>
      </c>
      <c r="B20" s="126"/>
      <c r="C20" s="126"/>
      <c r="D20" s="126"/>
      <c r="E20" s="129"/>
      <c r="F20" s="123"/>
      <c r="G20" s="123">
        <v>2026</v>
      </c>
      <c r="H20" s="128"/>
      <c r="I20" s="126"/>
      <c r="J20" s="128"/>
      <c r="K20" s="126"/>
      <c r="L20" s="128"/>
      <c r="M20" s="126"/>
      <c r="N20" s="128"/>
      <c r="O20" s="126"/>
    </row>
    <row r="21" spans="1:15" x14ac:dyDescent="0.25">
      <c r="A21" s="123">
        <v>2027</v>
      </c>
      <c r="B21" s="126"/>
      <c r="C21" s="126"/>
      <c r="D21" s="126"/>
      <c r="E21" s="129"/>
      <c r="F21" s="123"/>
      <c r="G21" s="123">
        <v>2027</v>
      </c>
      <c r="H21" s="128"/>
      <c r="I21" s="126"/>
      <c r="J21" s="128"/>
      <c r="K21" s="126"/>
      <c r="L21" s="128"/>
      <c r="M21" s="126"/>
      <c r="N21" s="128"/>
      <c r="O21" s="126"/>
    </row>
    <row r="22" spans="1:15" x14ac:dyDescent="0.25">
      <c r="A22" s="123">
        <v>2028</v>
      </c>
      <c r="B22" s="126"/>
      <c r="C22" s="126"/>
      <c r="D22" s="126"/>
      <c r="E22" s="129"/>
      <c r="F22" s="123"/>
      <c r="G22" s="123">
        <v>2028</v>
      </c>
      <c r="H22" s="128"/>
      <c r="I22" s="126"/>
      <c r="J22" s="128"/>
      <c r="K22" s="126"/>
      <c r="L22" s="128"/>
      <c r="M22" s="126"/>
      <c r="N22" s="128"/>
      <c r="O22" s="126"/>
    </row>
    <row r="23" spans="1:15" x14ac:dyDescent="0.25">
      <c r="A23" s="123">
        <v>2029</v>
      </c>
      <c r="B23" s="126"/>
      <c r="C23" s="126"/>
      <c r="D23" s="126"/>
      <c r="E23" s="129"/>
      <c r="F23" s="123"/>
      <c r="G23" s="123">
        <v>2029</v>
      </c>
      <c r="H23" s="128"/>
      <c r="I23" s="126"/>
      <c r="J23" s="128"/>
      <c r="K23" s="126"/>
      <c r="L23" s="128"/>
      <c r="M23" s="126"/>
      <c r="N23" s="128"/>
      <c r="O23" s="126"/>
    </row>
    <row r="24" spans="1:15" x14ac:dyDescent="0.25">
      <c r="A24" s="123">
        <v>2030</v>
      </c>
      <c r="B24" s="126"/>
      <c r="C24" s="126"/>
      <c r="D24" s="126"/>
      <c r="E24" s="129"/>
      <c r="F24" s="123"/>
      <c r="G24" s="123">
        <v>2030</v>
      </c>
      <c r="H24" s="128"/>
      <c r="I24" s="126"/>
      <c r="J24" s="128"/>
      <c r="K24" s="126"/>
      <c r="L24" s="128"/>
      <c r="M24" s="126"/>
      <c r="N24" s="128"/>
      <c r="O24" s="126"/>
    </row>
    <row r="25" spans="1:15" ht="15.75" customHeight="1" x14ac:dyDescent="0.25">
      <c r="A25" s="123"/>
      <c r="B25" s="126"/>
      <c r="C25" s="126"/>
      <c r="D25" s="126"/>
      <c r="E25" s="129"/>
      <c r="F25" s="123"/>
      <c r="G25" s="123"/>
      <c r="H25" s="128"/>
      <c r="I25" s="126"/>
      <c r="J25" s="128"/>
      <c r="K25" s="126"/>
      <c r="L25" s="128"/>
      <c r="M25" s="126"/>
      <c r="N25" s="128"/>
      <c r="O25" s="126"/>
    </row>
    <row r="26" spans="1:15" ht="15.75" customHeight="1" x14ac:dyDescent="0.25">
      <c r="A26" s="131" t="s">
        <v>156</v>
      </c>
      <c r="B26" s="123"/>
      <c r="C26" s="123"/>
      <c r="D26" s="123"/>
      <c r="E26" s="130"/>
      <c r="F26" s="132"/>
      <c r="G26" s="131" t="s">
        <v>157</v>
      </c>
      <c r="H26" s="123"/>
      <c r="I26" s="123"/>
      <c r="J26" s="123"/>
      <c r="K26" s="132"/>
      <c r="L26" s="132"/>
      <c r="M26" s="132"/>
      <c r="N26" s="132"/>
      <c r="O26" s="123"/>
    </row>
    <row r="27" spans="1:15" ht="60" x14ac:dyDescent="0.25">
      <c r="A27" s="123" t="s">
        <v>3</v>
      </c>
      <c r="B27" s="124" t="s">
        <v>158</v>
      </c>
      <c r="C27" s="124" t="s">
        <v>159</v>
      </c>
      <c r="D27" s="124" t="s">
        <v>151</v>
      </c>
      <c r="E27" s="125" t="s">
        <v>5</v>
      </c>
      <c r="F27" s="123"/>
      <c r="G27" s="123" t="s">
        <v>3</v>
      </c>
      <c r="H27" s="124" t="s">
        <v>51</v>
      </c>
      <c r="I27" s="124" t="s">
        <v>152</v>
      </c>
      <c r="J27" s="124" t="s">
        <v>52</v>
      </c>
      <c r="K27" s="124" t="s">
        <v>153</v>
      </c>
      <c r="L27" s="124" t="s">
        <v>53</v>
      </c>
      <c r="M27" s="124" t="s">
        <v>154</v>
      </c>
      <c r="N27" s="124" t="s">
        <v>54</v>
      </c>
      <c r="O27" s="124" t="s">
        <v>155</v>
      </c>
    </row>
    <row r="28" spans="1:15" ht="15.75" customHeight="1" x14ac:dyDescent="0.25">
      <c r="A28" s="123">
        <v>2011</v>
      </c>
      <c r="B28" s="126">
        <f>'R. Energetiche-Comb. (letture)'!$C$55</f>
        <v>13696.361175</v>
      </c>
      <c r="C28" s="126"/>
      <c r="D28" s="126">
        <f>'7. Risorse Energetiche'!$B28+'7. Risorse Energetiche'!$C28</f>
        <v>13696.361175</v>
      </c>
      <c r="E28" s="127"/>
      <c r="F28" s="123"/>
      <c r="G28" s="123">
        <v>2011</v>
      </c>
      <c r="H28" s="128">
        <v>0.28000000000000003</v>
      </c>
      <c r="I28" s="126">
        <f>'7. Risorse Energetiche'!$H28*'7. Risorse Energetiche'!$D28</f>
        <v>3834.9811290000002</v>
      </c>
      <c r="J28" s="128">
        <v>0.7</v>
      </c>
      <c r="K28" s="126">
        <f>'7. Risorse Energetiche'!$J28*'7. Risorse Energetiche'!$D28</f>
        <v>9587.4528224999995</v>
      </c>
      <c r="L28" s="128"/>
      <c r="M28" s="126">
        <f>'7. Risorse Energetiche'!$L28*'7. Risorse Energetiche'!$D28</f>
        <v>0</v>
      </c>
      <c r="N28" s="128">
        <v>0.02</v>
      </c>
      <c r="O28" s="126">
        <f>'7. Risorse Energetiche'!$N28*'7. Risorse Energetiche'!$D28</f>
        <v>273.92722350000003</v>
      </c>
    </row>
    <row r="29" spans="1:15" ht="15.75" customHeight="1" x14ac:dyDescent="0.25">
      <c r="A29" s="123">
        <v>2012</v>
      </c>
      <c r="B29" s="126">
        <f>'R. Energetiche-Comb. (letture)'!$E$55</f>
        <v>0</v>
      </c>
      <c r="C29" s="126"/>
      <c r="D29" s="126">
        <f>'7. Risorse Energetiche'!$B29+'7. Risorse Energetiche'!$C29</f>
        <v>0</v>
      </c>
      <c r="E29" s="127"/>
      <c r="F29" s="123"/>
      <c r="G29" s="123">
        <v>2012</v>
      </c>
      <c r="H29" s="128">
        <v>0.28000000000000003</v>
      </c>
      <c r="I29" s="126">
        <f>'7. Risorse Energetiche'!$H29*'7. Risorse Energetiche'!$D29</f>
        <v>0</v>
      </c>
      <c r="J29" s="128">
        <v>0.7</v>
      </c>
      <c r="K29" s="126">
        <f>'7. Risorse Energetiche'!$J29*'7. Risorse Energetiche'!$D29</f>
        <v>0</v>
      </c>
      <c r="L29" s="128"/>
      <c r="M29" s="126">
        <f>'7. Risorse Energetiche'!$L29*'7. Risorse Energetiche'!$D29</f>
        <v>0</v>
      </c>
      <c r="N29" s="128">
        <f>1-('7. Risorse Energetiche'!$H29+'7. Risorse Energetiche'!$J29+'7. Risorse Energetiche'!$L29)</f>
        <v>2.0000000000000018E-2</v>
      </c>
      <c r="O29" s="126">
        <f>'7. Risorse Energetiche'!$N29*'7. Risorse Energetiche'!$D29</f>
        <v>0</v>
      </c>
    </row>
    <row r="30" spans="1:15" ht="15.75" customHeight="1" x14ac:dyDescent="0.25">
      <c r="A30" s="123">
        <v>2013</v>
      </c>
      <c r="B30" s="126">
        <f>'R. Energetiche-Comb. (letture)'!$G$55</f>
        <v>13844.920599999998</v>
      </c>
      <c r="C30" s="126"/>
      <c r="D30" s="126">
        <f>'7. Risorse Energetiche'!$B30+'7. Risorse Energetiche'!$C30</f>
        <v>13844.920599999998</v>
      </c>
      <c r="E30" s="127"/>
      <c r="F30" s="123"/>
      <c r="G30" s="123">
        <v>2013</v>
      </c>
      <c r="H30" s="128">
        <v>0.28000000000000003</v>
      </c>
      <c r="I30" s="126">
        <f>'7. Risorse Energetiche'!$H30*'7. Risorse Energetiche'!$D30</f>
        <v>3876.5777679999997</v>
      </c>
      <c r="J30" s="128">
        <v>0.7</v>
      </c>
      <c r="K30" s="126">
        <f>'7. Risorse Energetiche'!$J30*'7. Risorse Energetiche'!$D30</f>
        <v>9691.444419999998</v>
      </c>
      <c r="L30" s="128"/>
      <c r="M30" s="126">
        <f>'7. Risorse Energetiche'!$L30*'7. Risorse Energetiche'!$D30</f>
        <v>0</v>
      </c>
      <c r="N30" s="128">
        <f>1-('7. Risorse Energetiche'!$H30+'7. Risorse Energetiche'!$J30+'7. Risorse Energetiche'!$L30)</f>
        <v>2.0000000000000018E-2</v>
      </c>
      <c r="O30" s="126">
        <f>'7. Risorse Energetiche'!$N30*'7. Risorse Energetiche'!$D30</f>
        <v>276.89841200000018</v>
      </c>
    </row>
    <row r="31" spans="1:15" ht="15.75" customHeight="1" x14ac:dyDescent="0.25">
      <c r="A31" s="123">
        <v>2014</v>
      </c>
      <c r="B31" s="126">
        <f>'R. Energetiche-Comb. (letture)'!$I$55</f>
        <v>13987.071233333332</v>
      </c>
      <c r="C31" s="126"/>
      <c r="D31" s="126">
        <f>'7. Risorse Energetiche'!$B31+'7. Risorse Energetiche'!$C31</f>
        <v>13987.071233333332</v>
      </c>
      <c r="E31" s="127">
        <f>('7. Risorse Energetiche'!$D31-D30)/D30</f>
        <v>1.0267349119599471E-2</v>
      </c>
      <c r="F31" s="123"/>
      <c r="G31" s="123">
        <v>2014</v>
      </c>
      <c r="H31" s="128">
        <v>0.28000000000000003</v>
      </c>
      <c r="I31" s="126">
        <f>'7. Risorse Energetiche'!$H31*'7. Risorse Energetiche'!$D31</f>
        <v>3916.3799453333336</v>
      </c>
      <c r="J31" s="128">
        <v>0.7</v>
      </c>
      <c r="K31" s="126">
        <f>'7. Risorse Energetiche'!$J31*'7. Risorse Energetiche'!$D31</f>
        <v>9790.9498633333315</v>
      </c>
      <c r="L31" s="128"/>
      <c r="M31" s="126">
        <f>'7. Risorse Energetiche'!$L31*'7. Risorse Energetiche'!$D31</f>
        <v>0</v>
      </c>
      <c r="N31" s="128">
        <f>1-('7. Risorse Energetiche'!$H31+'7. Risorse Energetiche'!$J31+'7. Risorse Energetiche'!$L31)</f>
        <v>2.0000000000000018E-2</v>
      </c>
      <c r="O31" s="126">
        <f>'7. Risorse Energetiche'!$N31*'7. Risorse Energetiche'!$D31</f>
        <v>279.74142466666689</v>
      </c>
    </row>
    <row r="32" spans="1:15" ht="15.75" customHeight="1" x14ac:dyDescent="0.25">
      <c r="A32" s="123">
        <v>2015</v>
      </c>
      <c r="B32" s="126">
        <f>'R. Energetiche-Comb. (letture)'!$K$55</f>
        <v>12586.270666666662</v>
      </c>
      <c r="C32" s="126"/>
      <c r="D32" s="126">
        <f>'7. Risorse Energetiche'!$B32+'7. Risorse Energetiche'!$C32</f>
        <v>12586.270666666662</v>
      </c>
      <c r="E32" s="127">
        <f>('7. Risorse Energetiche'!$D32-D31)/D31</f>
        <v>-0.10014966988431061</v>
      </c>
      <c r="F32" s="123"/>
      <c r="G32" s="123">
        <v>2015</v>
      </c>
      <c r="H32" s="128">
        <v>0.28000000000000003</v>
      </c>
      <c r="I32" s="126">
        <f>'7. Risorse Energetiche'!$H32*'7. Risorse Energetiche'!$D32</f>
        <v>3524.1557866666658</v>
      </c>
      <c r="J32" s="128">
        <v>0.7</v>
      </c>
      <c r="K32" s="126">
        <f>'7. Risorse Energetiche'!$J32*'7. Risorse Energetiche'!$D32</f>
        <v>8810.389466666662</v>
      </c>
      <c r="L32" s="128"/>
      <c r="M32" s="126">
        <f>'7. Risorse Energetiche'!$L32*'7. Risorse Energetiche'!$D32</f>
        <v>0</v>
      </c>
      <c r="N32" s="128">
        <f>1-('7. Risorse Energetiche'!$H32+'7. Risorse Energetiche'!$J32+'7. Risorse Energetiche'!$L32)</f>
        <v>2.0000000000000018E-2</v>
      </c>
      <c r="O32" s="126">
        <f>'7. Risorse Energetiche'!$N32*'7. Risorse Energetiche'!$D32</f>
        <v>251.72541333333345</v>
      </c>
    </row>
    <row r="33" spans="1:15" ht="15.75" customHeight="1" x14ac:dyDescent="0.25">
      <c r="A33" s="123">
        <v>2016</v>
      </c>
      <c r="B33" s="126">
        <f>'R. Energetiche-Comb. (letture)'!$M$55</f>
        <v>13128.586100277776</v>
      </c>
      <c r="C33" s="126"/>
      <c r="D33" s="126">
        <f>'7. Risorse Energetiche'!$B33+'7. Risorse Energetiche'!$C33</f>
        <v>13128.586100277776</v>
      </c>
      <c r="E33" s="127">
        <f>('7. Risorse Energetiche'!$D33-D32)/D32</f>
        <v>4.3087857235374484E-2</v>
      </c>
      <c r="F33" s="123"/>
      <c r="G33" s="123">
        <v>2016</v>
      </c>
      <c r="H33" s="128">
        <v>0.28000000000000003</v>
      </c>
      <c r="I33" s="126">
        <f>'7. Risorse Energetiche'!$H33*'7. Risorse Energetiche'!$D33</f>
        <v>3676.0041080777778</v>
      </c>
      <c r="J33" s="128">
        <v>0.7</v>
      </c>
      <c r="K33" s="126">
        <f>'7. Risorse Energetiche'!$J33*'7. Risorse Energetiche'!$D33</f>
        <v>9190.0102701944434</v>
      </c>
      <c r="L33" s="128"/>
      <c r="M33" s="126">
        <f>'7. Risorse Energetiche'!$L33*'7. Risorse Energetiche'!$D33</f>
        <v>0</v>
      </c>
      <c r="N33" s="128">
        <f>1-('7. Risorse Energetiche'!$H33+'7. Risorse Energetiche'!$J33+'7. Risorse Energetiche'!$L33)</f>
        <v>2.0000000000000018E-2</v>
      </c>
      <c r="O33" s="126">
        <f>'7. Risorse Energetiche'!$N33*'7. Risorse Energetiche'!$D33</f>
        <v>262.57172200555578</v>
      </c>
    </row>
    <row r="34" spans="1:15" ht="15.75" customHeight="1" x14ac:dyDescent="0.25">
      <c r="A34" s="123">
        <v>2017</v>
      </c>
      <c r="B34" s="126">
        <f>'R. Energetiche-Comb. (letture)'!$O$55+'R. Energetiche-Comb. (letture)'!C77</f>
        <v>12959.263164722224</v>
      </c>
      <c r="C34" s="126"/>
      <c r="D34" s="126">
        <f>'7. Risorse Energetiche'!$B34+'7. Risorse Energetiche'!$C34</f>
        <v>12959.263164722224</v>
      </c>
      <c r="E34" s="127">
        <f>('7. Risorse Energetiche'!$D34-D33)/D33</f>
        <v>-1.2897271211251735E-2</v>
      </c>
      <c r="F34" s="123"/>
      <c r="G34" s="123">
        <v>2017</v>
      </c>
      <c r="H34" s="128">
        <v>0.28000000000000003</v>
      </c>
      <c r="I34" s="126">
        <f>'7. Risorse Energetiche'!$H34*'7. Risorse Energetiche'!$D34</f>
        <v>3628.5936861222231</v>
      </c>
      <c r="J34" s="128">
        <v>0.7</v>
      </c>
      <c r="K34" s="126">
        <f>'7. Risorse Energetiche'!$J34*'7. Risorse Energetiche'!$D34</f>
        <v>9071.4842153055561</v>
      </c>
      <c r="L34" s="128"/>
      <c r="M34" s="126">
        <f>'7. Risorse Energetiche'!$L34*'7. Risorse Energetiche'!$D34</f>
        <v>0</v>
      </c>
      <c r="N34" s="128">
        <f>1-('7. Risorse Energetiche'!$H34+'7. Risorse Energetiche'!$J34+'7. Risorse Energetiche'!$L34)</f>
        <v>2.0000000000000018E-2</v>
      </c>
      <c r="O34" s="126">
        <f>'7. Risorse Energetiche'!$N34*'7. Risorse Energetiche'!$D34</f>
        <v>259.18526329444472</v>
      </c>
    </row>
    <row r="35" spans="1:15" ht="15.75" customHeight="1" x14ac:dyDescent="0.25">
      <c r="A35" s="123">
        <v>2018</v>
      </c>
      <c r="B35" s="126">
        <f>'R. Energetiche-Comb. (letture)'!$Q$55+'R. Energetiche-Comb. (letture)'!E77</f>
        <v>11128.784858888888</v>
      </c>
      <c r="C35" s="126"/>
      <c r="D35" s="126">
        <f>'7. Risorse Energetiche'!$B35+'7. Risorse Energetiche'!$C35</f>
        <v>11128.784858888888</v>
      </c>
      <c r="E35" s="127">
        <f>('7. Risorse Energetiche'!$D35-D34)/D34</f>
        <v>-0.14124864064928275</v>
      </c>
      <c r="F35" s="123"/>
      <c r="G35" s="123">
        <v>2018</v>
      </c>
      <c r="H35" s="128">
        <v>0.28000000000000003</v>
      </c>
      <c r="I35" s="126">
        <f>'7. Risorse Energetiche'!$H35*'7. Risorse Energetiche'!$D35</f>
        <v>3116.059760488889</v>
      </c>
      <c r="J35" s="128">
        <v>0.7</v>
      </c>
      <c r="K35" s="126">
        <f>'7. Risorse Energetiche'!$J35*'7. Risorse Energetiche'!$D35</f>
        <v>7790.1494012222211</v>
      </c>
      <c r="L35" s="128"/>
      <c r="M35" s="126">
        <f>'7. Risorse Energetiche'!$L35*'7. Risorse Energetiche'!$D35</f>
        <v>0</v>
      </c>
      <c r="N35" s="128">
        <f>1-('7. Risorse Energetiche'!$H35+'7. Risorse Energetiche'!$J35+'7. Risorse Energetiche'!$L35)</f>
        <v>2.0000000000000018E-2</v>
      </c>
      <c r="O35" s="126">
        <f>'7. Risorse Energetiche'!$N35*'7. Risorse Energetiche'!$D35</f>
        <v>222.57569717777795</v>
      </c>
    </row>
    <row r="36" spans="1:15" ht="15.75" customHeight="1" x14ac:dyDescent="0.25">
      <c r="A36" s="123">
        <v>2019</v>
      </c>
      <c r="B36" s="126">
        <f>'R. Energetiche-Comb. (letture)'!G77</f>
        <v>11030.177190277775</v>
      </c>
      <c r="C36" s="126"/>
      <c r="D36" s="126">
        <f>'7. Risorse Energetiche'!$B36+'7. Risorse Energetiche'!$C36</f>
        <v>11030.177190277775</v>
      </c>
      <c r="E36" s="127">
        <f>('7. Risorse Energetiche'!$D36-D35)/D35</f>
        <v>-8.8605961802157452E-3</v>
      </c>
      <c r="F36" s="123"/>
      <c r="G36" s="123">
        <v>2019</v>
      </c>
      <c r="H36" s="128">
        <v>0.28000000000000003</v>
      </c>
      <c r="I36" s="126">
        <f>'7. Risorse Energetiche'!$H36*'7. Risorse Energetiche'!$D36</f>
        <v>3088.4496132777772</v>
      </c>
      <c r="J36" s="128">
        <v>0.7</v>
      </c>
      <c r="K36" s="126">
        <f>'7. Risorse Energetiche'!$J36*'7. Risorse Energetiche'!$D36</f>
        <v>7721.1240331944418</v>
      </c>
      <c r="L36" s="128"/>
      <c r="M36" s="126">
        <f>'7. Risorse Energetiche'!$L36*'7. Risorse Energetiche'!$D36</f>
        <v>0</v>
      </c>
      <c r="N36" s="128">
        <f>1-('7. Risorse Energetiche'!$H36+'7. Risorse Energetiche'!$J36+'7. Risorse Energetiche'!$L36)</f>
        <v>2.0000000000000018E-2</v>
      </c>
      <c r="O36" s="126">
        <f>'7. Risorse Energetiche'!$N36*'7. Risorse Energetiche'!$D36</f>
        <v>220.60354380555569</v>
      </c>
    </row>
    <row r="37" spans="1:15" ht="15.75" customHeight="1" x14ac:dyDescent="0.25">
      <c r="A37" s="123">
        <v>2020</v>
      </c>
      <c r="B37" s="126">
        <f>'R. Energetiche-Comb. (letture)'!I77</f>
        <v>7607.2892200000006</v>
      </c>
      <c r="C37" s="126"/>
      <c r="D37" s="126">
        <f>'7. Risorse Energetiche'!$B37+'7. Risorse Energetiche'!$C37</f>
        <v>7607.2892200000006</v>
      </c>
      <c r="E37" s="127">
        <f>('7. Risorse Energetiche'!$D37-D36)/D36</f>
        <v>-0.31032030684826878</v>
      </c>
      <c r="F37" s="123"/>
      <c r="G37" s="123">
        <v>2020</v>
      </c>
      <c r="H37" s="128">
        <v>0.28000000000000003</v>
      </c>
      <c r="I37" s="126">
        <f>'7. Risorse Energetiche'!$H37*'7. Risorse Energetiche'!$D37</f>
        <v>2130.0409816000006</v>
      </c>
      <c r="J37" s="128">
        <v>0.7</v>
      </c>
      <c r="K37" s="126">
        <f>'7. Risorse Energetiche'!$J37*'7. Risorse Energetiche'!$D37</f>
        <v>5325.1024539999999</v>
      </c>
      <c r="L37" s="128"/>
      <c r="M37" s="126">
        <f>'7. Risorse Energetiche'!$L37*'7. Risorse Energetiche'!$D37</f>
        <v>0</v>
      </c>
      <c r="N37" s="128">
        <f>1-('7. Risorse Energetiche'!$H37+'7. Risorse Energetiche'!$J37+'7. Risorse Energetiche'!$L37)</f>
        <v>2.0000000000000018E-2</v>
      </c>
      <c r="O37" s="126">
        <f>'7. Risorse Energetiche'!$N37*'7. Risorse Energetiche'!$D37</f>
        <v>152.14578440000014</v>
      </c>
    </row>
    <row r="38" spans="1:15" ht="15.75" customHeight="1" x14ac:dyDescent="0.25">
      <c r="A38" s="123">
        <v>2021</v>
      </c>
      <c r="B38" s="126">
        <f>'R. Energetiche-Comb. (letture)'!K77</f>
        <v>9699.5015213888873</v>
      </c>
      <c r="C38" s="126"/>
      <c r="D38" s="126">
        <f>'7. Risorse Energetiche'!$B38+'7. Risorse Energetiche'!$C38</f>
        <v>9699.5015213888873</v>
      </c>
      <c r="E38" s="127">
        <f>('7. Risorse Energetiche'!$D38-D37)/D37</f>
        <v>0.27502731142235798</v>
      </c>
      <c r="F38" s="123"/>
      <c r="G38" s="123">
        <v>2021</v>
      </c>
      <c r="H38" s="128">
        <v>0.28000000000000003</v>
      </c>
      <c r="I38" s="126">
        <f>'7. Risorse Energetiche'!$H38*'7. Risorse Energetiche'!$D38</f>
        <v>2715.8604259888889</v>
      </c>
      <c r="J38" s="128">
        <v>0.7</v>
      </c>
      <c r="K38" s="126">
        <f>'7. Risorse Energetiche'!$J38*'7. Risorse Energetiche'!$D38</f>
        <v>6789.6510649722204</v>
      </c>
      <c r="L38" s="128"/>
      <c r="M38" s="126">
        <f>'7. Risorse Energetiche'!$L38*'7. Risorse Energetiche'!$D38</f>
        <v>0</v>
      </c>
      <c r="N38" s="128">
        <f>1-('7. Risorse Energetiche'!$H38+'7. Risorse Energetiche'!$J38+'7. Risorse Energetiche'!$L38)</f>
        <v>2.0000000000000018E-2</v>
      </c>
      <c r="O38" s="126">
        <f>'7. Risorse Energetiche'!$N38*'7. Risorse Energetiche'!$D38</f>
        <v>193.99003042777792</v>
      </c>
    </row>
    <row r="39" spans="1:15" ht="15.75" customHeight="1" x14ac:dyDescent="0.25">
      <c r="A39" s="123">
        <v>2022</v>
      </c>
      <c r="B39" s="126">
        <f>'R. Energetiche-Comb. (letture)'!M77</f>
        <v>10862.250245833333</v>
      </c>
      <c r="C39" s="126"/>
      <c r="D39" s="126">
        <f>'7. Risorse Energetiche'!$B39+'7. Risorse Energetiche'!$C39</f>
        <v>10862.250245833333</v>
      </c>
      <c r="E39" s="127">
        <f>('7. Risorse Energetiche'!$D39-D38)/D38</f>
        <v>0.11987716295321016</v>
      </c>
      <c r="F39" s="123"/>
      <c r="G39" s="123">
        <v>2022</v>
      </c>
      <c r="H39" s="128">
        <v>0.28000000000000003</v>
      </c>
      <c r="I39" s="126">
        <f>'7. Risorse Energetiche'!$H39*'7. Risorse Energetiche'!$D39</f>
        <v>3041.4300688333333</v>
      </c>
      <c r="J39" s="128">
        <v>0.7</v>
      </c>
      <c r="K39" s="126">
        <f>'7. Risorse Energetiche'!$J39*'7. Risorse Energetiche'!$D39</f>
        <v>7603.5751720833323</v>
      </c>
      <c r="L39" s="128"/>
      <c r="M39" s="126">
        <f>'7. Risorse Energetiche'!$L39*'7. Risorse Energetiche'!$D39</f>
        <v>0</v>
      </c>
      <c r="N39" s="128">
        <f>1-('7. Risorse Energetiche'!$H39+'7. Risorse Energetiche'!$J39+'7. Risorse Energetiche'!$L39)</f>
        <v>2.0000000000000018E-2</v>
      </c>
      <c r="O39" s="126">
        <f>'7. Risorse Energetiche'!$N39*'7. Risorse Energetiche'!$D39</f>
        <v>217.24500491666686</v>
      </c>
    </row>
    <row r="40" spans="1:15" ht="15.75" customHeight="1" x14ac:dyDescent="0.25">
      <c r="A40" s="123">
        <v>2023</v>
      </c>
      <c r="B40" s="126">
        <f>'R. Energetiche-Comb. (letture)'!O77</f>
        <v>8843.0151966666672</v>
      </c>
      <c r="C40" s="126"/>
      <c r="D40" s="126">
        <f>'7. Risorse Energetiche'!$B40+'7. Risorse Energetiche'!$C40</f>
        <v>8843.0151966666672</v>
      </c>
      <c r="E40" s="127">
        <f>('7. Risorse Energetiche'!$D40-D39)/D39</f>
        <v>-0.18589472747060187</v>
      </c>
      <c r="F40" s="123"/>
      <c r="G40" s="123">
        <v>2023</v>
      </c>
      <c r="H40" s="128">
        <v>0.28000000000000003</v>
      </c>
      <c r="I40" s="126">
        <f>'7. Risorse Energetiche'!$H40*'7. Risorse Energetiche'!$D40</f>
        <v>2476.0442550666671</v>
      </c>
      <c r="J40" s="128">
        <v>0.7</v>
      </c>
      <c r="K40" s="126">
        <f>'7. Risorse Energetiche'!$J40*'7. Risorse Energetiche'!$D40</f>
        <v>6190.1106376666667</v>
      </c>
      <c r="L40" s="128"/>
      <c r="M40" s="126">
        <f>'7. Risorse Energetiche'!$L40*'7. Risorse Energetiche'!$D40</f>
        <v>0</v>
      </c>
      <c r="N40" s="128">
        <f>1-('7. Risorse Energetiche'!$H40+'7. Risorse Energetiche'!$J40+'7. Risorse Energetiche'!$L40)</f>
        <v>2.0000000000000018E-2</v>
      </c>
      <c r="O40" s="126">
        <f>'7. Risorse Energetiche'!$N40*'7. Risorse Energetiche'!$D40</f>
        <v>176.86030393333351</v>
      </c>
    </row>
    <row r="41" spans="1:15" ht="15.75" customHeight="1" x14ac:dyDescent="0.25">
      <c r="A41" s="123">
        <v>2024</v>
      </c>
      <c r="B41" s="126">
        <f>'R. Energetiche-Comb. (letture)'!Q77</f>
        <v>8146.6009599999998</v>
      </c>
      <c r="C41" s="126"/>
      <c r="D41" s="126">
        <f>'7. Risorse Energetiche'!$B41+'7. Risorse Energetiche'!$C41</f>
        <v>8146.6009599999998</v>
      </c>
      <c r="E41" s="127">
        <f>('7. Risorse Energetiche'!$D41-D40)/D40</f>
        <v>-7.8753029501654304E-2</v>
      </c>
      <c r="F41" s="123"/>
      <c r="G41" s="123">
        <v>2024</v>
      </c>
      <c r="H41" s="128">
        <v>0.31</v>
      </c>
      <c r="I41" s="126">
        <f>'7. Risorse Energetiche'!$H41*'7. Risorse Energetiche'!$D41</f>
        <v>2525.4462976</v>
      </c>
      <c r="J41" s="128">
        <v>0.67</v>
      </c>
      <c r="K41" s="126">
        <f>'7. Risorse Energetiche'!$J41*'7. Risorse Energetiche'!$D41</f>
        <v>5458.2226431999998</v>
      </c>
      <c r="L41" s="128"/>
      <c r="M41" s="126">
        <f>'7. Risorse Energetiche'!$L41*'7. Risorse Energetiche'!$D41</f>
        <v>0</v>
      </c>
      <c r="N41" s="128">
        <f>1-('7. Risorse Energetiche'!$H41+'7. Risorse Energetiche'!$J41+'7. Risorse Energetiche'!$L41)</f>
        <v>2.0000000000000018E-2</v>
      </c>
      <c r="O41" s="126">
        <f>'7. Risorse Energetiche'!$N41*'7. Risorse Energetiche'!$D41</f>
        <v>162.93201920000013</v>
      </c>
    </row>
    <row r="42" spans="1:15" ht="15.75" customHeight="1" x14ac:dyDescent="0.25">
      <c r="A42" s="123">
        <v>2025</v>
      </c>
      <c r="B42" s="126"/>
      <c r="C42" s="126"/>
      <c r="D42" s="126"/>
      <c r="E42" s="127"/>
      <c r="F42" s="123"/>
      <c r="G42" s="123">
        <v>2025</v>
      </c>
      <c r="H42" s="128"/>
      <c r="I42" s="126"/>
      <c r="J42" s="128"/>
      <c r="K42" s="126"/>
      <c r="L42" s="128"/>
      <c r="M42" s="126"/>
      <c r="N42" s="128"/>
      <c r="O42" s="126"/>
    </row>
    <row r="43" spans="1:15" ht="15.75" customHeight="1" x14ac:dyDescent="0.25">
      <c r="A43" s="123">
        <v>2026</v>
      </c>
      <c r="B43" s="126"/>
      <c r="C43" s="126"/>
      <c r="D43" s="126"/>
      <c r="E43" s="129"/>
      <c r="F43" s="123"/>
      <c r="G43" s="123">
        <v>2026</v>
      </c>
      <c r="H43" s="128"/>
      <c r="I43" s="126"/>
      <c r="J43" s="128"/>
      <c r="K43" s="126"/>
      <c r="L43" s="128"/>
      <c r="M43" s="126"/>
      <c r="N43" s="128"/>
      <c r="O43" s="126"/>
    </row>
    <row r="44" spans="1:15" ht="15.75" customHeight="1" x14ac:dyDescent="0.25">
      <c r="A44" s="123">
        <v>2027</v>
      </c>
      <c r="B44" s="126"/>
      <c r="C44" s="126"/>
      <c r="D44" s="126"/>
      <c r="E44" s="129"/>
      <c r="F44" s="123"/>
      <c r="G44" s="123">
        <v>2027</v>
      </c>
      <c r="H44" s="128"/>
      <c r="I44" s="126"/>
      <c r="J44" s="128"/>
      <c r="K44" s="126"/>
      <c r="L44" s="128"/>
      <c r="M44" s="126"/>
      <c r="N44" s="128"/>
      <c r="O44" s="126"/>
    </row>
    <row r="45" spans="1:15" ht="15.75" customHeight="1" x14ac:dyDescent="0.25">
      <c r="A45" s="123">
        <v>2028</v>
      </c>
      <c r="B45" s="126"/>
      <c r="C45" s="126"/>
      <c r="D45" s="126"/>
      <c r="E45" s="129"/>
      <c r="F45" s="123"/>
      <c r="G45" s="123">
        <v>2028</v>
      </c>
      <c r="H45" s="123"/>
      <c r="I45" s="123"/>
      <c r="J45" s="123"/>
      <c r="K45" s="123"/>
      <c r="L45" s="123"/>
      <c r="M45" s="123"/>
      <c r="N45" s="123"/>
      <c r="O45" s="123"/>
    </row>
    <row r="46" spans="1:15" ht="15.75" customHeight="1" x14ac:dyDescent="0.25">
      <c r="A46" s="123">
        <v>2029</v>
      </c>
      <c r="B46" s="126"/>
      <c r="C46" s="126"/>
      <c r="D46" s="126"/>
      <c r="E46" s="129"/>
      <c r="F46" s="123"/>
      <c r="G46" s="123">
        <v>2029</v>
      </c>
      <c r="H46" s="123"/>
      <c r="I46" s="123"/>
      <c r="J46" s="123"/>
      <c r="K46" s="123"/>
      <c r="L46" s="123"/>
      <c r="M46" s="123"/>
      <c r="N46" s="123"/>
      <c r="O46" s="123"/>
    </row>
    <row r="47" spans="1:15" ht="15.75" customHeight="1" x14ac:dyDescent="0.25">
      <c r="A47" s="123">
        <v>2030</v>
      </c>
      <c r="B47" s="126"/>
      <c r="C47" s="126"/>
      <c r="D47" s="126"/>
      <c r="E47" s="129"/>
      <c r="F47" s="132"/>
      <c r="G47" s="123">
        <v>2030</v>
      </c>
      <c r="H47" s="123"/>
      <c r="I47" s="123"/>
      <c r="J47" s="123"/>
      <c r="K47" s="123"/>
      <c r="L47" s="123"/>
      <c r="M47" s="123"/>
      <c r="N47" s="123"/>
      <c r="O47" s="123"/>
    </row>
    <row r="48" spans="1:15" x14ac:dyDescent="0.25">
      <c r="A48" s="123"/>
      <c r="B48" s="126"/>
      <c r="C48" s="126"/>
      <c r="D48" s="126"/>
      <c r="E48" s="129"/>
      <c r="F48" s="123"/>
      <c r="G48" s="123"/>
      <c r="H48" s="123"/>
      <c r="I48" s="123"/>
      <c r="J48" s="123"/>
      <c r="K48" s="123"/>
      <c r="L48" s="123"/>
      <c r="M48" s="123"/>
      <c r="N48" s="123"/>
      <c r="O48" s="123"/>
    </row>
    <row r="49" spans="1:15" ht="15.75" customHeight="1" x14ac:dyDescent="0.25">
      <c r="A49" s="131" t="s">
        <v>160</v>
      </c>
      <c r="B49" s="123"/>
      <c r="C49" s="123"/>
      <c r="D49" s="123"/>
      <c r="E49" s="130"/>
      <c r="F49" s="123"/>
      <c r="G49" s="131" t="s">
        <v>161</v>
      </c>
      <c r="H49" s="123"/>
      <c r="I49" s="123"/>
      <c r="J49" s="123"/>
      <c r="K49" s="132"/>
      <c r="L49" s="132"/>
      <c r="M49" s="132"/>
      <c r="N49" s="132"/>
      <c r="O49" s="123"/>
    </row>
    <row r="50" spans="1:15" ht="36" x14ac:dyDescent="0.25">
      <c r="A50" s="123" t="s">
        <v>3</v>
      </c>
      <c r="B50" s="124" t="s">
        <v>162</v>
      </c>
      <c r="C50" s="124" t="s">
        <v>159</v>
      </c>
      <c r="D50" s="124" t="s">
        <v>151</v>
      </c>
      <c r="E50" s="125" t="s">
        <v>5</v>
      </c>
      <c r="F50" s="123"/>
      <c r="G50" s="123" t="s">
        <v>3</v>
      </c>
      <c r="H50" s="124" t="s">
        <v>51</v>
      </c>
      <c r="I50" s="124" t="s">
        <v>152</v>
      </c>
      <c r="J50" s="124" t="s">
        <v>52</v>
      </c>
      <c r="K50" s="124" t="s">
        <v>153</v>
      </c>
      <c r="L50" s="124" t="s">
        <v>53</v>
      </c>
      <c r="M50" s="124" t="s">
        <v>154</v>
      </c>
      <c r="N50" s="124" t="s">
        <v>54</v>
      </c>
      <c r="O50" s="124" t="s">
        <v>155</v>
      </c>
    </row>
    <row r="51" spans="1:15" ht="15.75" customHeight="1" x14ac:dyDescent="0.25">
      <c r="A51" s="123">
        <v>2011</v>
      </c>
      <c r="B51" s="126">
        <f t="shared" ref="B51:B64" si="0">D5+D28</f>
        <v>20510.361174999998</v>
      </c>
      <c r="C51" s="126"/>
      <c r="D51" s="126">
        <f>'7. Risorse Energetiche'!$B51+'7. Risorse Energetiche'!$C51</f>
        <v>20510.361174999998</v>
      </c>
      <c r="E51" s="127"/>
      <c r="F51" s="123"/>
      <c r="G51" s="123">
        <v>2011</v>
      </c>
      <c r="H51" s="128">
        <v>0.28000000000000003</v>
      </c>
      <c r="I51" s="126">
        <f>'7. Risorse Energetiche'!$H51*'7. Risorse Energetiche'!$D51</f>
        <v>5742.9011289999999</v>
      </c>
      <c r="J51" s="128">
        <v>0.7</v>
      </c>
      <c r="K51" s="126">
        <f>'7. Risorse Energetiche'!$J51*'7. Risorse Energetiche'!$D51</f>
        <v>14357.252822499997</v>
      </c>
      <c r="L51" s="128"/>
      <c r="M51" s="126">
        <f>'7. Risorse Energetiche'!$L51*'7. Risorse Energetiche'!$D51</f>
        <v>0</v>
      </c>
      <c r="N51" s="128">
        <v>0.02</v>
      </c>
      <c r="O51" s="126">
        <f>'7. Risorse Energetiche'!$N51*'7. Risorse Energetiche'!$D51</f>
        <v>410.2072235</v>
      </c>
    </row>
    <row r="52" spans="1:15" ht="15.75" customHeight="1" x14ac:dyDescent="0.25">
      <c r="A52" s="123">
        <v>2012</v>
      </c>
      <c r="B52" s="126">
        <f t="shared" si="0"/>
        <v>0</v>
      </c>
      <c r="C52" s="126"/>
      <c r="D52" s="126">
        <f>'7. Risorse Energetiche'!$B52+'7. Risorse Energetiche'!$C52</f>
        <v>0</v>
      </c>
      <c r="E52" s="127"/>
      <c r="F52" s="123"/>
      <c r="G52" s="123">
        <v>2012</v>
      </c>
      <c r="H52" s="128">
        <v>0.28000000000000003</v>
      </c>
      <c r="I52" s="126">
        <f>'7. Risorse Energetiche'!$H52*'7. Risorse Energetiche'!$D52</f>
        <v>0</v>
      </c>
      <c r="J52" s="128">
        <v>0.7</v>
      </c>
      <c r="K52" s="126">
        <f>'7. Risorse Energetiche'!$J52*'7. Risorse Energetiche'!$D52</f>
        <v>0</v>
      </c>
      <c r="L52" s="128"/>
      <c r="M52" s="126">
        <f>'7. Risorse Energetiche'!$L52*'7. Risorse Energetiche'!$D52</f>
        <v>0</v>
      </c>
      <c r="N52" s="128">
        <f>1-('7. Risorse Energetiche'!$H52+'7. Risorse Energetiche'!$J52+'7. Risorse Energetiche'!$L52)</f>
        <v>2.0000000000000018E-2</v>
      </c>
      <c r="O52" s="126">
        <f>'7. Risorse Energetiche'!$N52*'7. Risorse Energetiche'!$D52</f>
        <v>0</v>
      </c>
    </row>
    <row r="53" spans="1:15" ht="15.75" customHeight="1" x14ac:dyDescent="0.25">
      <c r="A53" s="123">
        <v>2013</v>
      </c>
      <c r="B53" s="126">
        <f t="shared" si="0"/>
        <v>20197.851599999998</v>
      </c>
      <c r="C53" s="126"/>
      <c r="D53" s="126">
        <f>'7. Risorse Energetiche'!$B53+'7. Risorse Energetiche'!$C53</f>
        <v>20197.851599999998</v>
      </c>
      <c r="E53" s="127"/>
      <c r="F53" s="123"/>
      <c r="G53" s="123">
        <v>2013</v>
      </c>
      <c r="H53" s="128">
        <v>0.28000000000000003</v>
      </c>
      <c r="I53" s="126">
        <f>'7. Risorse Energetiche'!$H53*'7. Risorse Energetiche'!$D53</f>
        <v>5655.3984479999999</v>
      </c>
      <c r="J53" s="128">
        <v>0.7</v>
      </c>
      <c r="K53" s="126">
        <f>'7. Risorse Energetiche'!$J53*'7. Risorse Energetiche'!$D53</f>
        <v>14138.496119999998</v>
      </c>
      <c r="L53" s="128"/>
      <c r="M53" s="126">
        <f>'7. Risorse Energetiche'!$L53*'7. Risorse Energetiche'!$D53</f>
        <v>0</v>
      </c>
      <c r="N53" s="128">
        <f>1-('7. Risorse Energetiche'!$H53+'7. Risorse Energetiche'!$J53+'7. Risorse Energetiche'!$L53)</f>
        <v>2.0000000000000018E-2</v>
      </c>
      <c r="O53" s="126">
        <f>'7. Risorse Energetiche'!$N53*'7. Risorse Energetiche'!$D53</f>
        <v>403.95703200000031</v>
      </c>
    </row>
    <row r="54" spans="1:15" ht="15.75" customHeight="1" x14ac:dyDescent="0.25">
      <c r="A54" s="123">
        <v>2014</v>
      </c>
      <c r="B54" s="126">
        <f t="shared" si="0"/>
        <v>20584.953233333334</v>
      </c>
      <c r="C54" s="126"/>
      <c r="D54" s="126">
        <f>'7. Risorse Energetiche'!$B54+'7. Risorse Energetiche'!$C54</f>
        <v>20584.953233333334</v>
      </c>
      <c r="E54" s="127">
        <f>('7. Risorse Energetiche'!$D54-D53)/D53</f>
        <v>1.9165485567451911E-2</v>
      </c>
      <c r="F54" s="123"/>
      <c r="G54" s="123">
        <v>2014</v>
      </c>
      <c r="H54" s="128">
        <v>0.28000000000000003</v>
      </c>
      <c r="I54" s="126">
        <f>'7. Risorse Energetiche'!$H54*'7. Risorse Energetiche'!$D54</f>
        <v>5763.7869053333343</v>
      </c>
      <c r="J54" s="128">
        <v>0.7</v>
      </c>
      <c r="K54" s="126">
        <f>'7. Risorse Energetiche'!$J54*'7. Risorse Energetiche'!$D54</f>
        <v>14409.467263333332</v>
      </c>
      <c r="L54" s="128"/>
      <c r="M54" s="126">
        <f>'7. Risorse Energetiche'!$L54*'7. Risorse Energetiche'!$D54</f>
        <v>0</v>
      </c>
      <c r="N54" s="128">
        <f>1-('7. Risorse Energetiche'!$H54+'7. Risorse Energetiche'!$J54+'7. Risorse Energetiche'!$L54)</f>
        <v>2.0000000000000018E-2</v>
      </c>
      <c r="O54" s="126">
        <f>'7. Risorse Energetiche'!$N54*'7. Risorse Energetiche'!$D54</f>
        <v>411.69906466666703</v>
      </c>
    </row>
    <row r="55" spans="1:15" ht="15.75" customHeight="1" x14ac:dyDescent="0.25">
      <c r="A55" s="123">
        <v>2015</v>
      </c>
      <c r="B55" s="126">
        <f t="shared" si="0"/>
        <v>19044.725666666662</v>
      </c>
      <c r="C55" s="126"/>
      <c r="D55" s="126">
        <f>'7. Risorse Energetiche'!$B55+'7. Risorse Energetiche'!$C55</f>
        <v>19044.725666666662</v>
      </c>
      <c r="E55" s="127">
        <f>('7. Risorse Energetiche'!$D55-D54)/D54</f>
        <v>-7.4822981097308131E-2</v>
      </c>
      <c r="F55" s="123"/>
      <c r="G55" s="123">
        <v>2015</v>
      </c>
      <c r="H55" s="128">
        <v>0.28000000000000003</v>
      </c>
      <c r="I55" s="126">
        <f>'7. Risorse Energetiche'!$H55*'7. Risorse Energetiche'!$D55</f>
        <v>5332.5231866666654</v>
      </c>
      <c r="J55" s="128">
        <v>0.7</v>
      </c>
      <c r="K55" s="126">
        <f>'7. Risorse Energetiche'!$J55*'7. Risorse Energetiche'!$D55</f>
        <v>13331.307966666662</v>
      </c>
      <c r="L55" s="128"/>
      <c r="M55" s="126">
        <f>'7. Risorse Energetiche'!$L55*'7. Risorse Energetiche'!$D55</f>
        <v>0</v>
      </c>
      <c r="N55" s="128">
        <f>1-('7. Risorse Energetiche'!$H55+'7. Risorse Energetiche'!$J55+'7. Risorse Energetiche'!$L55)</f>
        <v>2.0000000000000018E-2</v>
      </c>
      <c r="O55" s="126">
        <f>'7. Risorse Energetiche'!$N55*'7. Risorse Energetiche'!$D55</f>
        <v>380.89451333333358</v>
      </c>
    </row>
    <row r="56" spans="1:15" ht="15.75" customHeight="1" x14ac:dyDescent="0.25">
      <c r="A56" s="123">
        <v>2016</v>
      </c>
      <c r="B56" s="126">
        <f t="shared" si="0"/>
        <v>19647.651100277777</v>
      </c>
      <c r="C56" s="126"/>
      <c r="D56" s="126">
        <f>'7. Risorse Energetiche'!$B56+'7. Risorse Energetiche'!$C56</f>
        <v>19647.651100277777</v>
      </c>
      <c r="E56" s="127">
        <f>('7. Risorse Energetiche'!$D56-D55)/D55</f>
        <v>3.1658394253816703E-2</v>
      </c>
      <c r="F56" s="123"/>
      <c r="G56" s="123">
        <v>2016</v>
      </c>
      <c r="H56" s="128">
        <v>0.28000000000000003</v>
      </c>
      <c r="I56" s="126">
        <f>'7. Risorse Energetiche'!$H56*'7. Risorse Energetiche'!$D56</f>
        <v>5501.3423080777784</v>
      </c>
      <c r="J56" s="128">
        <v>0.7</v>
      </c>
      <c r="K56" s="126">
        <f>'7. Risorse Energetiche'!$J56*'7. Risorse Energetiche'!$D56</f>
        <v>13753.355770194443</v>
      </c>
      <c r="L56" s="128"/>
      <c r="M56" s="126">
        <f>'7. Risorse Energetiche'!$L56*'7. Risorse Energetiche'!$D56</f>
        <v>0</v>
      </c>
      <c r="N56" s="128">
        <f>1-('7. Risorse Energetiche'!$H56+'7. Risorse Energetiche'!$J56+'7. Risorse Energetiche'!$L56)</f>
        <v>2.0000000000000018E-2</v>
      </c>
      <c r="O56" s="126">
        <f>'7. Risorse Energetiche'!$N56*'7. Risorse Energetiche'!$D56</f>
        <v>392.95302200555591</v>
      </c>
    </row>
    <row r="57" spans="1:15" ht="15.75" customHeight="1" x14ac:dyDescent="0.25">
      <c r="A57" s="123">
        <v>2017</v>
      </c>
      <c r="B57" s="126">
        <f t="shared" si="0"/>
        <v>19845.875164722223</v>
      </c>
      <c r="C57" s="126"/>
      <c r="D57" s="126">
        <f>'7. Risorse Energetiche'!$B57+'7. Risorse Energetiche'!$C57</f>
        <v>19845.875164722223</v>
      </c>
      <c r="E57" s="127">
        <f>('7. Risorse Energetiche'!$D57-D56)/D56</f>
        <v>1.0088944649553754E-2</v>
      </c>
      <c r="F57" s="123"/>
      <c r="G57" s="123">
        <v>2017</v>
      </c>
      <c r="H57" s="128">
        <v>0.28000000000000003</v>
      </c>
      <c r="I57" s="126">
        <f>'7. Risorse Energetiche'!$H57*'7. Risorse Energetiche'!$D57</f>
        <v>5556.8450461222228</v>
      </c>
      <c r="J57" s="128">
        <v>0.7</v>
      </c>
      <c r="K57" s="126">
        <f>'7. Risorse Energetiche'!$J57*'7. Risorse Energetiche'!$D57</f>
        <v>13892.112615305556</v>
      </c>
      <c r="L57" s="128"/>
      <c r="M57" s="126">
        <f>'7. Risorse Energetiche'!$L57*'7. Risorse Energetiche'!$D57</f>
        <v>0</v>
      </c>
      <c r="N57" s="128">
        <f>1-('7. Risorse Energetiche'!$H57+'7. Risorse Energetiche'!$J57+'7. Risorse Energetiche'!$L57)</f>
        <v>2.0000000000000018E-2</v>
      </c>
      <c r="O57" s="126">
        <f>'7. Risorse Energetiche'!$N57*'7. Risorse Energetiche'!$D57</f>
        <v>396.91750329444483</v>
      </c>
    </row>
    <row r="58" spans="1:15" ht="15.75" customHeight="1" x14ac:dyDescent="0.25">
      <c r="A58" s="123">
        <v>2018</v>
      </c>
      <c r="B58" s="126">
        <f t="shared" si="0"/>
        <v>17486.229858888888</v>
      </c>
      <c r="C58" s="126"/>
      <c r="D58" s="126">
        <f>'7. Risorse Energetiche'!$B58+'7. Risorse Energetiche'!$C58</f>
        <v>17486.229858888888</v>
      </c>
      <c r="E58" s="127">
        <f>('7. Risorse Energetiche'!$D58-D57)/D57</f>
        <v>-0.1188985260790016</v>
      </c>
      <c r="F58" s="123"/>
      <c r="G58" s="123">
        <v>2018</v>
      </c>
      <c r="H58" s="128">
        <v>0.28000000000000003</v>
      </c>
      <c r="I58" s="126">
        <f>'7. Risorse Energetiche'!$H58*'7. Risorse Energetiche'!$D58</f>
        <v>4896.1443604888891</v>
      </c>
      <c r="J58" s="128">
        <v>0.7</v>
      </c>
      <c r="K58" s="126">
        <f>'7. Risorse Energetiche'!$J58*'7. Risorse Energetiche'!$D58</f>
        <v>12240.36090122222</v>
      </c>
      <c r="L58" s="128"/>
      <c r="M58" s="126">
        <f>'7. Risorse Energetiche'!$L58*'7. Risorse Energetiche'!$D58</f>
        <v>0</v>
      </c>
      <c r="N58" s="128">
        <f>1-('7. Risorse Energetiche'!$H58+'7. Risorse Energetiche'!$J58+'7. Risorse Energetiche'!$L58)</f>
        <v>2.0000000000000018E-2</v>
      </c>
      <c r="O58" s="126">
        <f>'7. Risorse Energetiche'!$N58*'7. Risorse Energetiche'!$D58</f>
        <v>349.72459717777809</v>
      </c>
    </row>
    <row r="59" spans="1:15" ht="15.75" customHeight="1" x14ac:dyDescent="0.25">
      <c r="A59" s="123">
        <v>2019</v>
      </c>
      <c r="B59" s="126">
        <f t="shared" si="0"/>
        <v>17117.181190277774</v>
      </c>
      <c r="C59" s="126"/>
      <c r="D59" s="126">
        <f>'7. Risorse Energetiche'!$B59+'7. Risorse Energetiche'!$C59</f>
        <v>17117.181190277774</v>
      </c>
      <c r="E59" s="127">
        <f>('7. Risorse Energetiche'!$D59-D58)/D58</f>
        <v>-2.1105102219819757E-2</v>
      </c>
      <c r="F59" s="123"/>
      <c r="G59" s="123">
        <v>2019</v>
      </c>
      <c r="H59" s="128">
        <v>0.28000000000000003</v>
      </c>
      <c r="I59" s="126">
        <f>'7. Risorse Energetiche'!$H59*'7. Risorse Energetiche'!$D59</f>
        <v>4792.8107332777772</v>
      </c>
      <c r="J59" s="128">
        <v>0.7</v>
      </c>
      <c r="K59" s="126">
        <f>'7. Risorse Energetiche'!$J59*'7. Risorse Energetiche'!$D59</f>
        <v>11982.026833194441</v>
      </c>
      <c r="L59" s="128"/>
      <c r="M59" s="126">
        <f>'7. Risorse Energetiche'!$L59*'7. Risorse Energetiche'!$D59</f>
        <v>0</v>
      </c>
      <c r="N59" s="128">
        <f>1-('7. Risorse Energetiche'!$H59+'7. Risorse Energetiche'!$J59+'7. Risorse Energetiche'!$L59)</f>
        <v>2.0000000000000018E-2</v>
      </c>
      <c r="O59" s="126">
        <f>'7. Risorse Energetiche'!$N59*'7. Risorse Energetiche'!$D59</f>
        <v>342.34362380555575</v>
      </c>
    </row>
    <row r="60" spans="1:15" ht="15.75" customHeight="1" x14ac:dyDescent="0.25">
      <c r="A60" s="123">
        <v>2020</v>
      </c>
      <c r="B60" s="126">
        <f t="shared" si="0"/>
        <v>11792.523220000001</v>
      </c>
      <c r="C60" s="126"/>
      <c r="D60" s="126">
        <f>'7. Risorse Energetiche'!$B60+'7. Risorse Energetiche'!$C60</f>
        <v>11792.523220000001</v>
      </c>
      <c r="E60" s="127">
        <f>('7. Risorse Energetiche'!$D60-D59)/D59</f>
        <v>-0.3110709591192547</v>
      </c>
      <c r="F60" s="123"/>
      <c r="G60" s="123">
        <v>2020</v>
      </c>
      <c r="H60" s="128">
        <v>0.28000000000000003</v>
      </c>
      <c r="I60" s="126">
        <f>'7. Risorse Energetiche'!$H60*'7. Risorse Energetiche'!$D60</f>
        <v>3301.9065016000004</v>
      </c>
      <c r="J60" s="128">
        <v>0.7</v>
      </c>
      <c r="K60" s="126">
        <f>'7. Risorse Energetiche'!$J60*'7. Risorse Energetiche'!$D60</f>
        <v>8254.7662540000001</v>
      </c>
      <c r="L60" s="128"/>
      <c r="M60" s="126">
        <f>'7. Risorse Energetiche'!$L60*'7. Risorse Energetiche'!$D60</f>
        <v>0</v>
      </c>
      <c r="N60" s="128">
        <f>1-('7. Risorse Energetiche'!$H60+'7. Risorse Energetiche'!$J60+'7. Risorse Energetiche'!$L60)</f>
        <v>2.0000000000000018E-2</v>
      </c>
      <c r="O60" s="126">
        <f>'7. Risorse Energetiche'!$N60*'7. Risorse Energetiche'!$D60</f>
        <v>235.85046440000022</v>
      </c>
    </row>
    <row r="61" spans="1:15" ht="15.75" customHeight="1" x14ac:dyDescent="0.25">
      <c r="A61" s="123">
        <v>2021</v>
      </c>
      <c r="B61" s="126">
        <f t="shared" si="0"/>
        <v>14795.021521388888</v>
      </c>
      <c r="C61" s="126"/>
      <c r="D61" s="126">
        <f>'7. Risorse Energetiche'!$B61+'7. Risorse Energetiche'!$C61</f>
        <v>14795.021521388888</v>
      </c>
      <c r="E61" s="127">
        <f>('7. Risorse Energetiche'!$D61-D60)/D60</f>
        <v>0.2546103361744228</v>
      </c>
      <c r="F61" s="123"/>
      <c r="G61" s="123">
        <v>2021</v>
      </c>
      <c r="H61" s="128">
        <v>0.28000000000000003</v>
      </c>
      <c r="I61" s="126">
        <f>'7. Risorse Energetiche'!$H61*'7. Risorse Energetiche'!$D61</f>
        <v>4142.6060259888891</v>
      </c>
      <c r="J61" s="128">
        <v>0.7</v>
      </c>
      <c r="K61" s="126">
        <f>'7. Risorse Energetiche'!$J61*'7. Risorse Energetiche'!$D61</f>
        <v>10356.51506497222</v>
      </c>
      <c r="L61" s="128"/>
      <c r="M61" s="126">
        <f>'7. Risorse Energetiche'!$L61*'7. Risorse Energetiche'!$D61</f>
        <v>0</v>
      </c>
      <c r="N61" s="128">
        <f>1-('7. Risorse Energetiche'!$H61+'7. Risorse Energetiche'!$J61+'7. Risorse Energetiche'!$L61)</f>
        <v>2.0000000000000018E-2</v>
      </c>
      <c r="O61" s="126">
        <f>'7. Risorse Energetiche'!$N61*'7. Risorse Energetiche'!$D61</f>
        <v>295.90043042777802</v>
      </c>
    </row>
    <row r="62" spans="1:15" ht="15.75" customHeight="1" x14ac:dyDescent="0.25">
      <c r="A62" s="123">
        <v>2022</v>
      </c>
      <c r="B62" s="126">
        <f t="shared" si="0"/>
        <v>16284.394245833333</v>
      </c>
      <c r="C62" s="126"/>
      <c r="D62" s="126">
        <f>'7. Risorse Energetiche'!$B62+'7. Risorse Energetiche'!$C62</f>
        <v>16284.394245833333</v>
      </c>
      <c r="E62" s="127">
        <f>('7. Risorse Energetiche'!$D62-D61)/D61</f>
        <v>0.10066715498124061</v>
      </c>
      <c r="F62" s="123"/>
      <c r="G62" s="123">
        <v>2022</v>
      </c>
      <c r="H62" s="128">
        <v>0.28000000000000003</v>
      </c>
      <c r="I62" s="126">
        <f>'7. Risorse Energetiche'!$H62*'7. Risorse Energetiche'!$D62</f>
        <v>4559.6303888333341</v>
      </c>
      <c r="J62" s="128">
        <v>0.7</v>
      </c>
      <c r="K62" s="126">
        <f>'7. Risorse Energetiche'!$J62*'7. Risorse Energetiche'!$D62</f>
        <v>11399.075972083332</v>
      </c>
      <c r="L62" s="128"/>
      <c r="M62" s="126">
        <f>'7. Risorse Energetiche'!$L62*'7. Risorse Energetiche'!$D62</f>
        <v>0</v>
      </c>
      <c r="N62" s="128">
        <f>1-('7. Risorse Energetiche'!$H62+'7. Risorse Energetiche'!$J62+'7. Risorse Energetiche'!$L62)</f>
        <v>2.0000000000000018E-2</v>
      </c>
      <c r="O62" s="126">
        <f>'7. Risorse Energetiche'!$N62*'7. Risorse Energetiche'!$D62</f>
        <v>325.68788491666697</v>
      </c>
    </row>
    <row r="63" spans="1:15" ht="15.75" customHeight="1" x14ac:dyDescent="0.25">
      <c r="A63" s="123">
        <v>2023</v>
      </c>
      <c r="B63" s="126">
        <f t="shared" si="0"/>
        <v>13224.827696666667</v>
      </c>
      <c r="C63" s="126"/>
      <c r="D63" s="126">
        <f>'7. Risorse Energetiche'!$B63+'7. Risorse Energetiche'!$C63</f>
        <v>13224.827696666667</v>
      </c>
      <c r="E63" s="127">
        <f>('7. Risorse Energetiche'!$D63-D62)/D62</f>
        <v>-0.18788335034012785</v>
      </c>
      <c r="F63" s="123"/>
      <c r="G63" s="123">
        <v>2023</v>
      </c>
      <c r="H63" s="128">
        <v>0.28000000000000003</v>
      </c>
      <c r="I63" s="126">
        <f>'7. Risorse Energetiche'!$H63*'7. Risorse Energetiche'!$D63</f>
        <v>3702.9517550666674</v>
      </c>
      <c r="J63" s="128">
        <v>0.7</v>
      </c>
      <c r="K63" s="126">
        <f>'7. Risorse Energetiche'!$J63*'7. Risorse Energetiche'!$D63</f>
        <v>9257.3793876666659</v>
      </c>
      <c r="L63" s="128"/>
      <c r="M63" s="126">
        <f>'7. Risorse Energetiche'!$L63*'7. Risorse Energetiche'!$D63</f>
        <v>0</v>
      </c>
      <c r="N63" s="128">
        <f>1-('7. Risorse Energetiche'!$H63+'7. Risorse Energetiche'!$J63+'7. Risorse Energetiche'!$L63)</f>
        <v>2.0000000000000018E-2</v>
      </c>
      <c r="O63" s="126">
        <f>'7. Risorse Energetiche'!$N63*'7. Risorse Energetiche'!$D63</f>
        <v>264.49655393333359</v>
      </c>
    </row>
    <row r="64" spans="1:15" ht="15.75" customHeight="1" x14ac:dyDescent="0.25">
      <c r="A64" s="123">
        <v>2024</v>
      </c>
      <c r="B64" s="126">
        <f t="shared" si="0"/>
        <v>11996.071960000001</v>
      </c>
      <c r="C64" s="126"/>
      <c r="D64" s="126">
        <f>'7. Risorse Energetiche'!$B64+'7. Risorse Energetiche'!$C64</f>
        <v>11996.071960000001</v>
      </c>
      <c r="E64" s="127">
        <f>('7. Risorse Energetiche'!$D64-D63)/D63</f>
        <v>-9.2912797417873005E-2</v>
      </c>
      <c r="F64" s="123"/>
      <c r="G64" s="123">
        <v>2024</v>
      </c>
      <c r="H64" s="128">
        <v>0.28000000000000003</v>
      </c>
      <c r="I64" s="126">
        <f>'7. Risorse Energetiche'!$H64*'7. Risorse Energetiche'!$D64</f>
        <v>3358.9001488000008</v>
      </c>
      <c r="J64" s="128">
        <v>0.7</v>
      </c>
      <c r="K64" s="126">
        <f>'7. Risorse Energetiche'!$J64*'7. Risorse Energetiche'!$D64</f>
        <v>8397.2503720000004</v>
      </c>
      <c r="L64" s="128"/>
      <c r="M64" s="126">
        <f>'7. Risorse Energetiche'!$L64*'7. Risorse Energetiche'!$D64</f>
        <v>0</v>
      </c>
      <c r="N64" s="128">
        <f>1-('7. Risorse Energetiche'!$H64+'7. Risorse Energetiche'!$J64+'7. Risorse Energetiche'!$L64)</f>
        <v>2.0000000000000018E-2</v>
      </c>
      <c r="O64" s="126">
        <f>'7. Risorse Energetiche'!$N64*'7. Risorse Energetiche'!$D64</f>
        <v>239.92143920000024</v>
      </c>
    </row>
    <row r="65" spans="1:15" ht="15.75" customHeight="1" x14ac:dyDescent="0.25">
      <c r="A65" s="123">
        <v>2025</v>
      </c>
      <c r="B65" s="126"/>
      <c r="C65" s="123"/>
      <c r="D65" s="126"/>
      <c r="E65" s="127"/>
      <c r="F65" s="123"/>
      <c r="G65" s="123">
        <v>2025</v>
      </c>
      <c r="H65" s="128"/>
      <c r="I65" s="126"/>
      <c r="J65" s="128"/>
      <c r="K65" s="126"/>
      <c r="L65" s="128"/>
      <c r="M65" s="126"/>
      <c r="N65" s="128"/>
      <c r="O65" s="126"/>
    </row>
    <row r="66" spans="1:15" ht="15.75" customHeight="1" x14ac:dyDescent="0.25">
      <c r="A66" s="123">
        <v>2026</v>
      </c>
      <c r="B66" s="126"/>
      <c r="C66" s="123"/>
      <c r="D66" s="126"/>
      <c r="E66" s="127"/>
      <c r="F66" s="123"/>
      <c r="G66" s="123">
        <v>2026</v>
      </c>
      <c r="H66" s="123"/>
      <c r="I66" s="123"/>
      <c r="J66" s="123"/>
      <c r="K66" s="123"/>
      <c r="L66" s="123"/>
      <c r="M66" s="123"/>
      <c r="N66" s="123"/>
      <c r="O66" s="123"/>
    </row>
    <row r="67" spans="1:15" ht="15.75" customHeight="1" x14ac:dyDescent="0.25">
      <c r="A67" s="123">
        <v>2027</v>
      </c>
      <c r="B67" s="126"/>
      <c r="C67" s="123"/>
      <c r="D67" s="126"/>
      <c r="E67" s="127"/>
      <c r="F67" s="123"/>
      <c r="G67" s="123">
        <v>2027</v>
      </c>
      <c r="H67" s="123"/>
      <c r="I67" s="123"/>
      <c r="J67" s="123"/>
      <c r="K67" s="123"/>
      <c r="L67" s="123"/>
      <c r="M67" s="123"/>
      <c r="N67" s="123"/>
      <c r="O67" s="123"/>
    </row>
    <row r="68" spans="1:15" ht="15.75" customHeight="1" x14ac:dyDescent="0.25">
      <c r="A68" s="123">
        <v>2028</v>
      </c>
      <c r="B68" s="126"/>
      <c r="C68" s="123"/>
      <c r="D68" s="126"/>
      <c r="E68" s="127"/>
      <c r="F68" s="123"/>
      <c r="G68" s="123">
        <v>2028</v>
      </c>
      <c r="H68" s="123"/>
      <c r="I68" s="123"/>
      <c r="J68" s="123"/>
      <c r="K68" s="123"/>
      <c r="L68" s="123"/>
      <c r="M68" s="123"/>
      <c r="N68" s="123"/>
      <c r="O68" s="123"/>
    </row>
    <row r="69" spans="1:15" x14ac:dyDescent="0.25">
      <c r="A69" s="123">
        <v>2029</v>
      </c>
      <c r="B69" s="126"/>
      <c r="C69" s="123"/>
      <c r="D69" s="126"/>
      <c r="E69" s="127"/>
      <c r="F69" s="123"/>
      <c r="G69" s="123">
        <v>2029</v>
      </c>
      <c r="H69" s="123"/>
      <c r="I69" s="123"/>
      <c r="J69" s="123"/>
      <c r="K69" s="123"/>
      <c r="L69" s="123"/>
      <c r="M69" s="123"/>
      <c r="N69" s="123"/>
      <c r="O69" s="123"/>
    </row>
    <row r="70" spans="1:15" x14ac:dyDescent="0.25">
      <c r="A70" s="123">
        <v>2030</v>
      </c>
      <c r="B70" s="126"/>
      <c r="C70" s="123"/>
      <c r="D70" s="126"/>
      <c r="E70" s="127"/>
      <c r="G70" s="123">
        <v>2030</v>
      </c>
      <c r="H70" s="123"/>
      <c r="I70" s="123"/>
      <c r="J70" s="123"/>
      <c r="K70" s="123"/>
      <c r="L70" s="123"/>
      <c r="M70" s="123"/>
      <c r="N70" s="123"/>
      <c r="O70" s="123"/>
    </row>
    <row r="71" spans="1:15" x14ac:dyDescent="0.25">
      <c r="A71" s="123"/>
      <c r="B71" s="123"/>
      <c r="C71" s="123"/>
      <c r="D71" s="123"/>
      <c r="E71" s="130"/>
      <c r="G71" s="123"/>
      <c r="H71" s="123"/>
      <c r="I71" s="123"/>
      <c r="J71" s="123"/>
      <c r="K71" s="123"/>
      <c r="L71" s="123"/>
      <c r="M71" s="123"/>
      <c r="N71" s="123"/>
      <c r="O71" s="123"/>
    </row>
    <row r="72" spans="1:15" x14ac:dyDescent="0.25">
      <c r="A72" s="131" t="s">
        <v>163</v>
      </c>
      <c r="B72" s="123"/>
      <c r="C72" s="123"/>
      <c r="D72" s="123"/>
      <c r="E72" s="130"/>
    </row>
    <row r="73" spans="1:15" ht="60" x14ac:dyDescent="0.25">
      <c r="A73" s="123" t="s">
        <v>3</v>
      </c>
      <c r="B73" s="124" t="s">
        <v>164</v>
      </c>
      <c r="C73" s="124" t="s">
        <v>165</v>
      </c>
      <c r="D73" s="124" t="s">
        <v>166</v>
      </c>
      <c r="E73" s="123"/>
    </row>
    <row r="74" spans="1:15" ht="15.75" customHeight="1" x14ac:dyDescent="0.25">
      <c r="A74" s="123">
        <v>2011</v>
      </c>
      <c r="B74" s="133">
        <f>D5/D51</f>
        <v>0.33222233103849769</v>
      </c>
      <c r="C74" s="133">
        <f>C5/D51</f>
        <v>0</v>
      </c>
      <c r="D74" s="133">
        <f>C5/D5</f>
        <v>0</v>
      </c>
      <c r="E74" s="123"/>
    </row>
    <row r="75" spans="1:15" ht="15.75" customHeight="1" x14ac:dyDescent="0.25">
      <c r="A75" s="123">
        <v>2012</v>
      </c>
      <c r="B75" s="133"/>
      <c r="C75" s="133"/>
      <c r="D75" s="133"/>
      <c r="E75" s="123"/>
    </row>
    <row r="76" spans="1:15" ht="15.75" customHeight="1" x14ac:dyDescent="0.25">
      <c r="A76" s="123">
        <v>2013</v>
      </c>
      <c r="B76" s="133">
        <f t="shared" ref="B76:B87" si="1">D7/D53</f>
        <v>0.31453498747361824</v>
      </c>
      <c r="C76" s="133">
        <f t="shared" ref="C76:C87" si="2">C7/D53</f>
        <v>0</v>
      </c>
      <c r="D76" s="133">
        <f t="shared" ref="D76:D87" si="3">C7/D7</f>
        <v>0</v>
      </c>
      <c r="E76" s="123"/>
    </row>
    <row r="77" spans="1:15" ht="15.75" customHeight="1" x14ac:dyDescent="0.25">
      <c r="A77" s="123">
        <v>2014</v>
      </c>
      <c r="B77" s="133">
        <f t="shared" si="1"/>
        <v>0.3205196497272586</v>
      </c>
      <c r="C77" s="133">
        <f t="shared" si="2"/>
        <v>0</v>
      </c>
      <c r="D77" s="133">
        <f t="shared" si="3"/>
        <v>0</v>
      </c>
    </row>
    <row r="78" spans="1:15" ht="15.75" customHeight="1" x14ac:dyDescent="0.25">
      <c r="A78" s="123">
        <v>2015</v>
      </c>
      <c r="B78" s="133">
        <f t="shared" si="1"/>
        <v>0.33912040073667299</v>
      </c>
      <c r="C78" s="133">
        <f t="shared" si="2"/>
        <v>0</v>
      </c>
      <c r="D78" s="133">
        <f t="shared" si="3"/>
        <v>0</v>
      </c>
    </row>
    <row r="79" spans="1:15" ht="15.75" customHeight="1" x14ac:dyDescent="0.25">
      <c r="A79" s="123">
        <v>2016</v>
      </c>
      <c r="B79" s="133">
        <f t="shared" si="1"/>
        <v>0.33179869526021022</v>
      </c>
      <c r="C79" s="133">
        <f t="shared" si="2"/>
        <v>0</v>
      </c>
      <c r="D79" s="133">
        <f t="shared" si="3"/>
        <v>0</v>
      </c>
    </row>
    <row r="80" spans="1:15" ht="15.75" customHeight="1" x14ac:dyDescent="0.25">
      <c r="A80" s="123">
        <v>2017</v>
      </c>
      <c r="B80" s="133">
        <f t="shared" si="1"/>
        <v>0.3470047021278031</v>
      </c>
      <c r="C80" s="133">
        <f t="shared" si="2"/>
        <v>0</v>
      </c>
      <c r="D80" s="133">
        <f t="shared" si="3"/>
        <v>0</v>
      </c>
    </row>
    <row r="81" spans="1:4" ht="15" customHeight="1" x14ac:dyDescent="0.25">
      <c r="A81" s="123">
        <v>2018</v>
      </c>
      <c r="B81" s="133">
        <f t="shared" si="1"/>
        <v>0.36356865095012342</v>
      </c>
      <c r="C81" s="133">
        <f t="shared" si="2"/>
        <v>0</v>
      </c>
      <c r="D81" s="133">
        <f t="shared" si="3"/>
        <v>0</v>
      </c>
    </row>
    <row r="82" spans="1:4" ht="15" customHeight="1" x14ac:dyDescent="0.25">
      <c r="A82" s="123">
        <v>2019</v>
      </c>
      <c r="B82" s="133">
        <f t="shared" si="1"/>
        <v>0.35560784993368533</v>
      </c>
      <c r="C82" s="133">
        <f t="shared" si="2"/>
        <v>0</v>
      </c>
      <c r="D82" s="133">
        <f t="shared" si="3"/>
        <v>0</v>
      </c>
    </row>
    <row r="83" spans="1:4" ht="15" customHeight="1" x14ac:dyDescent="0.25">
      <c r="A83" s="123">
        <v>2020</v>
      </c>
      <c r="B83" s="133">
        <f t="shared" si="1"/>
        <v>0.35490572474785426</v>
      </c>
      <c r="C83" s="133">
        <f t="shared" si="2"/>
        <v>3.4701988061889948E-2</v>
      </c>
      <c r="D83" s="133">
        <f t="shared" si="3"/>
        <v>9.7778045385275958E-2</v>
      </c>
    </row>
    <row r="84" spans="1:4" ht="15" customHeight="1" x14ac:dyDescent="0.25">
      <c r="A84" s="123">
        <v>2021</v>
      </c>
      <c r="B84" s="133">
        <f t="shared" si="1"/>
        <v>0.34440774504001231</v>
      </c>
      <c r="C84" s="133">
        <f t="shared" si="2"/>
        <v>3.1709179964474934E-2</v>
      </c>
      <c r="D84" s="133">
        <f t="shared" si="3"/>
        <v>9.2068719188620612E-2</v>
      </c>
    </row>
    <row r="85" spans="1:4" ht="15" customHeight="1" x14ac:dyDescent="0.25">
      <c r="A85" s="123">
        <v>2022</v>
      </c>
      <c r="B85" s="133">
        <f t="shared" si="1"/>
        <v>0.33296565522462446</v>
      </c>
      <c r="C85" s="133">
        <f t="shared" si="2"/>
        <v>2.8908720391638332E-2</v>
      </c>
      <c r="D85" s="133">
        <f t="shared" si="3"/>
        <v>8.6821928742578575E-2</v>
      </c>
    </row>
    <row r="86" spans="1:4" ht="15" customHeight="1" x14ac:dyDescent="0.25">
      <c r="A86" s="123">
        <v>2023</v>
      </c>
      <c r="B86" s="133">
        <f t="shared" si="1"/>
        <v>0.33133229411408066</v>
      </c>
      <c r="C86" s="133">
        <f t="shared" si="2"/>
        <v>3.3993070481614679E-2</v>
      </c>
      <c r="D86" s="133">
        <f t="shared" si="3"/>
        <v>0.10259510191273587</v>
      </c>
    </row>
    <row r="87" spans="1:4" ht="15" customHeight="1" x14ac:dyDescent="0.25">
      <c r="A87" s="123">
        <v>2024</v>
      </c>
      <c r="B87" s="133">
        <f t="shared" si="1"/>
        <v>0.32089429046739398</v>
      </c>
      <c r="C87" s="133">
        <f t="shared" si="2"/>
        <v>2.903267012412953E-2</v>
      </c>
      <c r="D87" s="133">
        <f t="shared" si="3"/>
        <v>9.0474249578708338E-2</v>
      </c>
    </row>
    <row r="88" spans="1:4" ht="15" customHeight="1" x14ac:dyDescent="0.25">
      <c r="A88" s="136">
        <v>2025</v>
      </c>
      <c r="B88" s="133"/>
      <c r="C88" s="133"/>
      <c r="D88" s="133"/>
    </row>
    <row r="89" spans="1:4" ht="15" customHeight="1" x14ac:dyDescent="0.25">
      <c r="A89" s="123">
        <v>2026</v>
      </c>
    </row>
    <row r="90" spans="1:4" ht="15" customHeight="1" x14ac:dyDescent="0.25">
      <c r="A90" s="136">
        <v>2027</v>
      </c>
    </row>
    <row r="91" spans="1:4" ht="15" customHeight="1" x14ac:dyDescent="0.25">
      <c r="A91" s="123">
        <v>2028</v>
      </c>
    </row>
    <row r="92" spans="1:4" ht="15" customHeight="1" x14ac:dyDescent="0.25">
      <c r="A92" s="136">
        <v>2029</v>
      </c>
    </row>
    <row r="93" spans="1:4" ht="15" customHeight="1" x14ac:dyDescent="0.25">
      <c r="A93" s="123">
        <v>2030</v>
      </c>
    </row>
  </sheetData>
  <conditionalFormatting sqref="E5:E24 E28:E48 E51:E71">
    <cfRule type="cellIs" dxfId="35" priority="1" operator="lessThan">
      <formula>0</formula>
    </cfRule>
    <cfRule type="cellIs" dxfId="34" priority="2" operator="greaterThan">
      <formula>0</formula>
    </cfRule>
  </conditionalFormatting>
  <pageMargins left="0.70866141732283472" right="0.70866141732283472" top="0.74803149606299213" bottom="0.74803149606299213" header="0" footer="0"/>
  <pageSetup paperSize="9" orientation="landscape"/>
  <headerFooter>
    <oddFooter>&amp;L&amp;A&amp;R&amp;F</oddFooter>
  </headerFooter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7"/>
  <sheetViews>
    <sheetView showGridLines="0" topLeftCell="A41" workbookViewId="0">
      <selection activeCell="R62" sqref="R62"/>
    </sheetView>
  </sheetViews>
  <sheetFormatPr defaultColWidth="14.42578125" defaultRowHeight="15" customHeight="1" x14ac:dyDescent="0.25"/>
  <cols>
    <col min="1" max="16" width="12.7109375" customWidth="1"/>
    <col min="17" max="17" width="12.7109375" style="148" customWidth="1"/>
    <col min="18" max="19" width="12.7109375" style="144" customWidth="1"/>
    <col min="20" max="23" width="8.7109375" customWidth="1"/>
  </cols>
  <sheetData>
    <row r="1" spans="1:17" x14ac:dyDescent="0.25">
      <c r="A1" s="1" t="s">
        <v>167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25">
      <c r="A2" s="2" t="s">
        <v>23</v>
      </c>
      <c r="B2" s="2" t="s">
        <v>24</v>
      </c>
      <c r="C2" s="2" t="s">
        <v>135</v>
      </c>
      <c r="D2" s="2" t="s">
        <v>136</v>
      </c>
      <c r="E2" s="2" t="s">
        <v>137</v>
      </c>
      <c r="F2" s="2" t="s">
        <v>138</v>
      </c>
      <c r="G2" s="2" t="s">
        <v>139</v>
      </c>
      <c r="H2" s="2" t="s">
        <v>140</v>
      </c>
      <c r="I2" s="2" t="s">
        <v>141</v>
      </c>
      <c r="J2" s="2" t="s">
        <v>142</v>
      </c>
      <c r="K2" s="2" t="s">
        <v>143</v>
      </c>
      <c r="L2" s="2" t="s">
        <v>144</v>
      </c>
      <c r="M2" s="2" t="s">
        <v>145</v>
      </c>
      <c r="N2" s="2" t="s">
        <v>146</v>
      </c>
      <c r="O2" s="2" t="s">
        <v>25</v>
      </c>
      <c r="P2" s="2" t="s">
        <v>26</v>
      </c>
      <c r="Q2" s="148" t="s">
        <v>27</v>
      </c>
    </row>
    <row r="3" spans="1:17" x14ac:dyDescent="0.25">
      <c r="A3" s="2" t="s">
        <v>28</v>
      </c>
      <c r="B3" s="2" t="s">
        <v>168</v>
      </c>
      <c r="C3" s="11"/>
      <c r="D3" s="11"/>
      <c r="E3" s="11">
        <v>559461</v>
      </c>
      <c r="F3" s="11">
        <v>485453</v>
      </c>
      <c r="G3" s="11">
        <v>541481</v>
      </c>
      <c r="H3" s="11">
        <v>437849</v>
      </c>
      <c r="I3" s="11">
        <v>515604</v>
      </c>
      <c r="J3" s="11">
        <v>551414</v>
      </c>
      <c r="K3" s="11">
        <v>534637</v>
      </c>
      <c r="L3" s="11">
        <v>483941</v>
      </c>
      <c r="M3" s="11">
        <v>303681</v>
      </c>
      <c r="N3" s="11">
        <v>376858</v>
      </c>
      <c r="O3" s="11">
        <v>398119</v>
      </c>
      <c r="P3" s="138">
        <v>316323</v>
      </c>
      <c r="Q3" s="138"/>
    </row>
    <row r="4" spans="1:17" x14ac:dyDescent="0.25">
      <c r="A4" s="2" t="s">
        <v>30</v>
      </c>
      <c r="B4" s="2" t="s">
        <v>168</v>
      </c>
      <c r="C4" s="11"/>
      <c r="D4" s="11"/>
      <c r="E4" s="11">
        <v>537849</v>
      </c>
      <c r="F4" s="11">
        <v>541068</v>
      </c>
      <c r="G4" s="11">
        <v>602635</v>
      </c>
      <c r="H4" s="11">
        <v>639219</v>
      </c>
      <c r="I4" s="11">
        <v>614558</v>
      </c>
      <c r="J4" s="11">
        <v>641321</v>
      </c>
      <c r="K4" s="11">
        <v>590729</v>
      </c>
      <c r="L4" s="11">
        <v>446615</v>
      </c>
      <c r="M4" s="11">
        <v>359337</v>
      </c>
      <c r="N4" s="11">
        <v>494446</v>
      </c>
      <c r="O4" s="11">
        <v>456109</v>
      </c>
      <c r="P4" s="138">
        <v>341775</v>
      </c>
      <c r="Q4" s="138"/>
    </row>
    <row r="5" spans="1:17" x14ac:dyDescent="0.25">
      <c r="A5" s="2" t="s">
        <v>31</v>
      </c>
      <c r="B5" s="2" t="s">
        <v>168</v>
      </c>
      <c r="C5" s="11"/>
      <c r="D5" s="11"/>
      <c r="E5" s="11">
        <v>332954</v>
      </c>
      <c r="F5" s="11">
        <v>613890</v>
      </c>
      <c r="G5" s="11">
        <v>660542</v>
      </c>
      <c r="H5" s="11">
        <v>666707</v>
      </c>
      <c r="I5" s="11">
        <v>693774</v>
      </c>
      <c r="J5" s="11">
        <v>681213</v>
      </c>
      <c r="K5" s="11">
        <v>637425</v>
      </c>
      <c r="L5" s="11">
        <v>279432</v>
      </c>
      <c r="M5" s="11">
        <v>417335</v>
      </c>
      <c r="N5" s="11">
        <v>480624</v>
      </c>
      <c r="O5" s="11">
        <v>468835</v>
      </c>
      <c r="P5" s="138">
        <v>334128</v>
      </c>
      <c r="Q5" s="138"/>
    </row>
    <row r="6" spans="1:17" x14ac:dyDescent="0.25">
      <c r="A6" s="2" t="s">
        <v>32</v>
      </c>
      <c r="B6" s="2" t="s">
        <v>168</v>
      </c>
      <c r="C6" s="11"/>
      <c r="D6" s="11"/>
      <c r="E6" s="11">
        <v>579626</v>
      </c>
      <c r="F6" s="11">
        <v>555797</v>
      </c>
      <c r="G6" s="11">
        <v>611558</v>
      </c>
      <c r="H6" s="11">
        <v>600472</v>
      </c>
      <c r="I6" s="11">
        <v>524316</v>
      </c>
      <c r="J6" s="11">
        <v>544234</v>
      </c>
      <c r="K6" s="11">
        <v>613191</v>
      </c>
      <c r="L6" s="11">
        <v>24762</v>
      </c>
      <c r="M6" s="11">
        <v>398916</v>
      </c>
      <c r="N6" s="11">
        <v>424984</v>
      </c>
      <c r="O6" s="11">
        <v>302204</v>
      </c>
      <c r="P6" s="138">
        <v>267435</v>
      </c>
      <c r="Q6" s="138"/>
    </row>
    <row r="7" spans="1:17" x14ac:dyDescent="0.25">
      <c r="A7" s="2" t="s">
        <v>33</v>
      </c>
      <c r="B7" s="2" t="s">
        <v>168</v>
      </c>
      <c r="C7" s="11"/>
      <c r="D7" s="11"/>
      <c r="E7" s="11">
        <v>683307</v>
      </c>
      <c r="F7" s="11">
        <v>615579</v>
      </c>
      <c r="G7" s="11">
        <v>582641</v>
      </c>
      <c r="H7" s="11">
        <v>626994</v>
      </c>
      <c r="I7" s="11">
        <v>689213</v>
      </c>
      <c r="J7" s="11">
        <v>638805</v>
      </c>
      <c r="K7" s="11">
        <v>585477</v>
      </c>
      <c r="L7" s="11">
        <v>348839</v>
      </c>
      <c r="M7" s="11">
        <v>363967</v>
      </c>
      <c r="N7" s="11">
        <v>519168</v>
      </c>
      <c r="O7" s="11">
        <v>450909</v>
      </c>
      <c r="P7" s="138">
        <v>348027</v>
      </c>
      <c r="Q7" s="138"/>
    </row>
    <row r="8" spans="1:17" x14ac:dyDescent="0.25">
      <c r="A8" s="2" t="s">
        <v>34</v>
      </c>
      <c r="B8" s="2" t="s">
        <v>168</v>
      </c>
      <c r="C8" s="11"/>
      <c r="D8" s="11"/>
      <c r="E8" s="11">
        <v>619967</v>
      </c>
      <c r="F8" s="11">
        <v>640123</v>
      </c>
      <c r="G8" s="11">
        <v>557829</v>
      </c>
      <c r="H8" s="11">
        <v>564578</v>
      </c>
      <c r="I8" s="11">
        <v>648391</v>
      </c>
      <c r="J8" s="11">
        <v>513242</v>
      </c>
      <c r="K8" s="11">
        <v>502242</v>
      </c>
      <c r="L8" s="11">
        <v>301681</v>
      </c>
      <c r="M8" s="11">
        <v>347224</v>
      </c>
      <c r="N8" s="11">
        <v>464040</v>
      </c>
      <c r="O8" s="11">
        <v>364785</v>
      </c>
      <c r="P8" s="138">
        <v>324316</v>
      </c>
      <c r="Q8" s="138"/>
    </row>
    <row r="9" spans="1:17" x14ac:dyDescent="0.25">
      <c r="A9" s="2" t="s">
        <v>35</v>
      </c>
      <c r="B9" s="2" t="s">
        <v>168</v>
      </c>
      <c r="C9" s="11"/>
      <c r="D9" s="11"/>
      <c r="E9" s="11">
        <v>689944</v>
      </c>
      <c r="F9" s="11">
        <v>715705</v>
      </c>
      <c r="G9" s="11">
        <v>567746</v>
      </c>
      <c r="H9" s="11">
        <v>604176</v>
      </c>
      <c r="I9" s="11">
        <v>634195</v>
      </c>
      <c r="J9" s="11">
        <v>528630</v>
      </c>
      <c r="K9" s="11">
        <v>585794</v>
      </c>
      <c r="L9" s="11">
        <v>407412</v>
      </c>
      <c r="M9" s="11">
        <v>384233</v>
      </c>
      <c r="N9" s="11">
        <v>469428</v>
      </c>
      <c r="O9" s="11">
        <v>255201</v>
      </c>
      <c r="P9" s="138">
        <v>290705</v>
      </c>
      <c r="Q9" s="138"/>
    </row>
    <row r="10" spans="1:17" x14ac:dyDescent="0.25">
      <c r="A10" s="2" t="s">
        <v>36</v>
      </c>
      <c r="B10" s="2" t="s">
        <v>168</v>
      </c>
      <c r="C10" s="11"/>
      <c r="D10" s="11"/>
      <c r="E10" s="11">
        <v>181103</v>
      </c>
      <c r="F10" s="11">
        <v>82076</v>
      </c>
      <c r="G10" s="11">
        <v>63218</v>
      </c>
      <c r="H10" s="11">
        <v>112302</v>
      </c>
      <c r="I10" s="11">
        <v>148027</v>
      </c>
      <c r="J10" s="11">
        <v>146514</v>
      </c>
      <c r="K10" s="11">
        <v>70874</v>
      </c>
      <c r="L10" s="11">
        <v>10452</v>
      </c>
      <c r="M10" s="11">
        <v>20776</v>
      </c>
      <c r="N10" s="11">
        <v>70379</v>
      </c>
      <c r="O10" s="11">
        <v>72326</v>
      </c>
      <c r="P10" s="138">
        <v>12900</v>
      </c>
      <c r="Q10" s="138"/>
    </row>
    <row r="11" spans="1:17" x14ac:dyDescent="0.25">
      <c r="A11" s="2" t="s">
        <v>37</v>
      </c>
      <c r="B11" s="2" t="s">
        <v>168</v>
      </c>
      <c r="C11" s="11"/>
      <c r="D11" s="11"/>
      <c r="E11" s="11">
        <v>590106</v>
      </c>
      <c r="F11" s="11">
        <v>649088</v>
      </c>
      <c r="G11" s="11">
        <v>616455</v>
      </c>
      <c r="H11" s="11">
        <v>635791</v>
      </c>
      <c r="I11" s="11">
        <v>650642</v>
      </c>
      <c r="J11" s="11">
        <v>563557</v>
      </c>
      <c r="K11" s="11">
        <v>565012</v>
      </c>
      <c r="L11" s="11">
        <v>491052</v>
      </c>
      <c r="M11" s="11">
        <v>468919</v>
      </c>
      <c r="N11" s="11">
        <v>502568</v>
      </c>
      <c r="O11" s="11">
        <v>371329</v>
      </c>
      <c r="P11" s="138">
        <v>370888</v>
      </c>
      <c r="Q11" s="138"/>
    </row>
    <row r="12" spans="1:17" x14ac:dyDescent="0.25">
      <c r="A12" s="2" t="s">
        <v>38</v>
      </c>
      <c r="B12" s="2" t="s">
        <v>168</v>
      </c>
      <c r="C12" s="11"/>
      <c r="D12" s="11"/>
      <c r="E12" s="11">
        <v>646020</v>
      </c>
      <c r="F12" s="11">
        <v>696826</v>
      </c>
      <c r="G12" s="11">
        <v>641976</v>
      </c>
      <c r="H12" s="11">
        <v>585629</v>
      </c>
      <c r="I12" s="11">
        <v>666616</v>
      </c>
      <c r="J12" s="11">
        <v>641090</v>
      </c>
      <c r="K12" s="11">
        <v>625043</v>
      </c>
      <c r="L12" s="11">
        <v>492786</v>
      </c>
      <c r="M12" s="11">
        <v>565956</v>
      </c>
      <c r="N12" s="11">
        <v>419244</v>
      </c>
      <c r="O12" s="11">
        <v>377690</v>
      </c>
      <c r="P12" s="138">
        <v>377112</v>
      </c>
      <c r="Q12" s="138"/>
    </row>
    <row r="13" spans="1:17" x14ac:dyDescent="0.25">
      <c r="A13" s="2" t="s">
        <v>39</v>
      </c>
      <c r="B13" s="2" t="s">
        <v>168</v>
      </c>
      <c r="C13" s="11"/>
      <c r="D13" s="11"/>
      <c r="E13" s="11">
        <v>544221</v>
      </c>
      <c r="F13" s="11">
        <v>593303</v>
      </c>
      <c r="G13" s="11">
        <v>605389</v>
      </c>
      <c r="H13" s="11">
        <v>590304</v>
      </c>
      <c r="I13" s="11">
        <v>633290</v>
      </c>
      <c r="J13" s="11">
        <v>502632</v>
      </c>
      <c r="K13" s="11">
        <v>450397</v>
      </c>
      <c r="L13" s="11">
        <v>257972</v>
      </c>
      <c r="M13" s="11">
        <v>548019</v>
      </c>
      <c r="N13" s="11">
        <v>450609</v>
      </c>
      <c r="O13" s="11">
        <v>226251</v>
      </c>
      <c r="P13" s="138">
        <v>308807</v>
      </c>
      <c r="Q13" s="138"/>
    </row>
    <row r="14" spans="1:17" x14ac:dyDescent="0.25">
      <c r="A14" s="2" t="s">
        <v>40</v>
      </c>
      <c r="B14" s="2" t="s">
        <v>168</v>
      </c>
      <c r="C14" s="11"/>
      <c r="D14" s="11"/>
      <c r="E14" s="11">
        <v>388373</v>
      </c>
      <c r="F14" s="11">
        <v>408974</v>
      </c>
      <c r="G14" s="11">
        <v>406985</v>
      </c>
      <c r="H14" s="11">
        <v>455044</v>
      </c>
      <c r="I14" s="11">
        <v>467986</v>
      </c>
      <c r="J14" s="11">
        <v>404793</v>
      </c>
      <c r="K14" s="11">
        <v>326183</v>
      </c>
      <c r="L14" s="11">
        <v>231066</v>
      </c>
      <c r="M14" s="11">
        <v>448019</v>
      </c>
      <c r="N14" s="11">
        <v>279035</v>
      </c>
      <c r="O14" s="11">
        <v>188502</v>
      </c>
      <c r="P14" s="138">
        <v>208777</v>
      </c>
      <c r="Q14" s="138"/>
    </row>
    <row r="15" spans="1:17" x14ac:dyDescent="0.25">
      <c r="A15" s="12" t="s">
        <v>41</v>
      </c>
      <c r="B15" s="2" t="s">
        <v>168</v>
      </c>
      <c r="C15" s="13">
        <v>6814000</v>
      </c>
      <c r="D15" s="13">
        <v>0</v>
      </c>
      <c r="E15" s="13">
        <f t="shared" ref="E15:P15" si="0">SUM(E3:E14)</f>
        <v>6352931</v>
      </c>
      <c r="F15" s="13">
        <f t="shared" si="0"/>
        <v>6597882</v>
      </c>
      <c r="G15" s="13">
        <f t="shared" si="0"/>
        <v>6458455</v>
      </c>
      <c r="H15" s="13">
        <f t="shared" si="0"/>
        <v>6519065</v>
      </c>
      <c r="I15" s="13">
        <f t="shared" si="0"/>
        <v>6886612</v>
      </c>
      <c r="J15" s="13">
        <f t="shared" si="0"/>
        <v>6357445</v>
      </c>
      <c r="K15" s="13">
        <f t="shared" si="0"/>
        <v>6087004</v>
      </c>
      <c r="L15" s="13">
        <f t="shared" si="0"/>
        <v>3776010</v>
      </c>
      <c r="M15" s="13">
        <f t="shared" si="0"/>
        <v>4626382</v>
      </c>
      <c r="N15" s="13">
        <f t="shared" si="0"/>
        <v>4951383</v>
      </c>
      <c r="O15" s="13">
        <f t="shared" si="0"/>
        <v>3932260</v>
      </c>
      <c r="P15" s="13">
        <f t="shared" si="0"/>
        <v>3501193</v>
      </c>
      <c r="Q15" s="138">
        <f t="shared" ref="Q15" si="1">SUM(Q3:Q14)</f>
        <v>0</v>
      </c>
    </row>
    <row r="16" spans="1:17" x14ac:dyDescent="0.25">
      <c r="A16" s="14" t="s">
        <v>41</v>
      </c>
      <c r="B16" s="15" t="s">
        <v>169</v>
      </c>
      <c r="C16" s="16">
        <f t="shared" ref="C16:P16" si="2">C15*3600/10^6</f>
        <v>24530.400000000001</v>
      </c>
      <c r="D16" s="16">
        <f t="shared" si="2"/>
        <v>0</v>
      </c>
      <c r="E16" s="16">
        <f t="shared" si="2"/>
        <v>22870.551599999999</v>
      </c>
      <c r="F16" s="16">
        <f t="shared" si="2"/>
        <v>23752.375199999999</v>
      </c>
      <c r="G16" s="16">
        <f t="shared" si="2"/>
        <v>23250.437999999998</v>
      </c>
      <c r="H16" s="16">
        <f t="shared" si="2"/>
        <v>23468.633999999998</v>
      </c>
      <c r="I16" s="16">
        <f t="shared" si="2"/>
        <v>24791.803199999998</v>
      </c>
      <c r="J16" s="16">
        <f t="shared" si="2"/>
        <v>22886.802</v>
      </c>
      <c r="K16" s="16">
        <f t="shared" si="2"/>
        <v>21913.214400000001</v>
      </c>
      <c r="L16" s="16">
        <f t="shared" si="2"/>
        <v>13593.636</v>
      </c>
      <c r="M16" s="16">
        <f t="shared" si="2"/>
        <v>16654.975200000001</v>
      </c>
      <c r="N16" s="16">
        <f t="shared" si="2"/>
        <v>17824.978800000001</v>
      </c>
      <c r="O16" s="16">
        <f t="shared" si="2"/>
        <v>14156.136</v>
      </c>
      <c r="P16" s="16">
        <f t="shared" si="2"/>
        <v>12604.2948</v>
      </c>
      <c r="Q16" s="140">
        <f t="shared" ref="Q16" si="3">Q15*3600/10^6</f>
        <v>0</v>
      </c>
    </row>
    <row r="18" spans="1:17" x14ac:dyDescent="0.25">
      <c r="A18" s="1" t="s">
        <v>472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x14ac:dyDescent="0.25">
      <c r="A19" s="2" t="s">
        <v>23</v>
      </c>
      <c r="B19" s="2" t="s">
        <v>24</v>
      </c>
      <c r="C19" s="2" t="s">
        <v>135</v>
      </c>
      <c r="D19" s="2" t="s">
        <v>136</v>
      </c>
      <c r="E19" s="2" t="s">
        <v>137</v>
      </c>
      <c r="F19" s="2" t="s">
        <v>138</v>
      </c>
      <c r="G19" s="2" t="s">
        <v>139</v>
      </c>
      <c r="H19" s="2" t="s">
        <v>140</v>
      </c>
      <c r="I19" s="2" t="s">
        <v>141</v>
      </c>
      <c r="J19" s="2" t="s">
        <v>142</v>
      </c>
      <c r="K19" s="2" t="s">
        <v>143</v>
      </c>
      <c r="L19" s="2" t="s">
        <v>144</v>
      </c>
      <c r="M19" s="2" t="s">
        <v>145</v>
      </c>
      <c r="N19" s="2" t="s">
        <v>146</v>
      </c>
      <c r="O19" s="2" t="s">
        <v>25</v>
      </c>
      <c r="P19" s="2" t="s">
        <v>26</v>
      </c>
      <c r="Q19" s="148" t="s">
        <v>27</v>
      </c>
    </row>
    <row r="20" spans="1:17" x14ac:dyDescent="0.25">
      <c r="A20" s="2" t="s">
        <v>28</v>
      </c>
      <c r="B20" s="2" t="s">
        <v>168</v>
      </c>
      <c r="C20" s="11"/>
      <c r="D20" s="11"/>
      <c r="E20" s="11"/>
      <c r="F20" s="11"/>
      <c r="G20" s="11"/>
      <c r="H20" s="11"/>
      <c r="I20" s="11"/>
      <c r="J20" s="11"/>
      <c r="K20" s="11"/>
      <c r="L20" s="11">
        <v>27000</v>
      </c>
      <c r="M20" s="11">
        <v>20011.500000000011</v>
      </c>
      <c r="N20" s="11">
        <v>23951.999999999956</v>
      </c>
      <c r="O20" s="11">
        <v>19349.499999999978</v>
      </c>
      <c r="P20" s="11">
        <v>18750</v>
      </c>
      <c r="Q20" s="11"/>
    </row>
    <row r="21" spans="1:17" ht="15.75" customHeight="1" x14ac:dyDescent="0.25">
      <c r="A21" s="2" t="s">
        <v>30</v>
      </c>
      <c r="B21" s="2" t="s">
        <v>168</v>
      </c>
      <c r="C21" s="11"/>
      <c r="D21" s="11"/>
      <c r="E21" s="11"/>
      <c r="F21" s="11"/>
      <c r="G21" s="11"/>
      <c r="H21" s="11"/>
      <c r="I21" s="11"/>
      <c r="J21" s="11"/>
      <c r="K21" s="11"/>
      <c r="L21" s="11">
        <v>35762.000000000007</v>
      </c>
      <c r="M21" s="11">
        <v>26824.000000000018</v>
      </c>
      <c r="N21" s="11">
        <v>32454.500000000022</v>
      </c>
      <c r="O21" s="11">
        <v>32561.499999999989</v>
      </c>
      <c r="P21" s="11">
        <v>20624</v>
      </c>
      <c r="Q21" s="11"/>
    </row>
    <row r="22" spans="1:17" ht="15.75" customHeight="1" x14ac:dyDescent="0.25">
      <c r="A22" s="2" t="s">
        <v>31</v>
      </c>
      <c r="B22" s="2" t="s">
        <v>168</v>
      </c>
      <c r="C22" s="11"/>
      <c r="D22" s="11"/>
      <c r="E22" s="11"/>
      <c r="F22" s="11"/>
      <c r="G22" s="11"/>
      <c r="H22" s="11"/>
      <c r="I22" s="11"/>
      <c r="J22" s="11"/>
      <c r="K22" s="11"/>
      <c r="L22" s="11">
        <v>32549.500000000004</v>
      </c>
      <c r="M22" s="11">
        <v>48909.999999999985</v>
      </c>
      <c r="N22" s="11">
        <v>41546.499999999971</v>
      </c>
      <c r="O22" s="11">
        <v>42961.500000000015</v>
      </c>
      <c r="P22" s="11">
        <v>27164</v>
      </c>
      <c r="Q22" s="11"/>
    </row>
    <row r="23" spans="1:17" ht="15.75" customHeight="1" x14ac:dyDescent="0.25">
      <c r="A23" s="2" t="s">
        <v>32</v>
      </c>
      <c r="B23" s="2" t="s">
        <v>168</v>
      </c>
      <c r="C23" s="11"/>
      <c r="D23" s="11"/>
      <c r="E23" s="11"/>
      <c r="F23" s="11"/>
      <c r="G23" s="11"/>
      <c r="H23" s="11"/>
      <c r="I23" s="11"/>
      <c r="J23" s="11"/>
      <c r="K23" s="11"/>
      <c r="L23" s="11">
        <v>15813.999999999971</v>
      </c>
      <c r="M23" s="11">
        <v>47435.5</v>
      </c>
      <c r="N23" s="11">
        <v>48725.000000000029</v>
      </c>
      <c r="O23" s="11">
        <v>43307.500000000058</v>
      </c>
      <c r="P23" s="11">
        <v>40442</v>
      </c>
      <c r="Q23" s="11"/>
    </row>
    <row r="24" spans="1:17" ht="15.75" customHeight="1" x14ac:dyDescent="0.25">
      <c r="A24" s="2" t="s">
        <v>33</v>
      </c>
      <c r="B24" s="2" t="s">
        <v>168</v>
      </c>
      <c r="C24" s="11"/>
      <c r="D24" s="11"/>
      <c r="E24" s="11"/>
      <c r="F24" s="11"/>
      <c r="G24" s="11"/>
      <c r="H24" s="11"/>
      <c r="I24" s="11"/>
      <c r="J24" s="11"/>
      <c r="K24" s="11"/>
      <c r="L24" s="11">
        <v>55871.500000000022</v>
      </c>
      <c r="M24" s="11">
        <v>58443.999999999985</v>
      </c>
      <c r="N24" s="11">
        <v>58244.999999999993</v>
      </c>
      <c r="O24" s="11">
        <v>49466.000000000029</v>
      </c>
      <c r="P24" s="11">
        <v>45548</v>
      </c>
      <c r="Q24" s="11"/>
    </row>
    <row r="25" spans="1:17" ht="15.75" customHeight="1" x14ac:dyDescent="0.25">
      <c r="A25" s="2" t="s">
        <v>34</v>
      </c>
      <c r="B25" s="2" t="s">
        <v>168</v>
      </c>
      <c r="C25" s="11"/>
      <c r="D25" s="11"/>
      <c r="E25" s="11"/>
      <c r="F25" s="11"/>
      <c r="G25" s="11"/>
      <c r="H25" s="11"/>
      <c r="I25" s="11"/>
      <c r="J25" s="11"/>
      <c r="K25" s="11"/>
      <c r="L25" s="11">
        <v>53994.500000000007</v>
      </c>
      <c r="M25" s="11">
        <v>58609.5</v>
      </c>
      <c r="N25" s="11">
        <v>56441.999999999985</v>
      </c>
      <c r="O25" s="11">
        <v>56035.999999999927</v>
      </c>
      <c r="P25" s="11">
        <v>33678</v>
      </c>
      <c r="Q25" s="11"/>
    </row>
    <row r="26" spans="1:17" ht="15.75" customHeight="1" x14ac:dyDescent="0.25">
      <c r="A26" s="2" t="s">
        <v>35</v>
      </c>
      <c r="B26" s="2" t="s">
        <v>168</v>
      </c>
      <c r="C26" s="11"/>
      <c r="D26" s="11"/>
      <c r="E26" s="11"/>
      <c r="F26" s="11"/>
      <c r="G26" s="11"/>
      <c r="H26" s="11"/>
      <c r="I26" s="11"/>
      <c r="J26" s="11"/>
      <c r="K26" s="11"/>
      <c r="L26" s="11">
        <v>65772</v>
      </c>
      <c r="M26" s="11">
        <v>63206.500000000015</v>
      </c>
      <c r="N26" s="11">
        <v>68340.500000000029</v>
      </c>
      <c r="O26" s="11">
        <v>53998.500000000044</v>
      </c>
      <c r="P26" s="11">
        <v>56912</v>
      </c>
      <c r="Q26" s="11"/>
    </row>
    <row r="27" spans="1:17" ht="15.75" customHeight="1" x14ac:dyDescent="0.25">
      <c r="A27" s="2" t="s">
        <v>36</v>
      </c>
      <c r="B27" s="2" t="s">
        <v>168</v>
      </c>
      <c r="C27" s="11"/>
      <c r="D27" s="11"/>
      <c r="E27" s="11"/>
      <c r="F27" s="11"/>
      <c r="G27" s="11"/>
      <c r="H27" s="11"/>
      <c r="I27" s="11"/>
      <c r="J27" s="11"/>
      <c r="K27" s="11"/>
      <c r="L27" s="11">
        <v>20178.000000000036</v>
      </c>
      <c r="M27" s="11">
        <v>25678.499999999978</v>
      </c>
      <c r="N27" s="11">
        <v>29794.000000000007</v>
      </c>
      <c r="O27" s="11">
        <v>26062.999999999942</v>
      </c>
      <c r="P27" s="11">
        <v>7540</v>
      </c>
      <c r="Q27" s="11"/>
    </row>
    <row r="28" spans="1:17" ht="15.75" customHeight="1" x14ac:dyDescent="0.25">
      <c r="A28" s="2" t="s">
        <v>37</v>
      </c>
      <c r="B28" s="2" t="s">
        <v>168</v>
      </c>
      <c r="C28" s="11"/>
      <c r="D28" s="11"/>
      <c r="E28" s="11"/>
      <c r="F28" s="11"/>
      <c r="G28" s="11"/>
      <c r="H28" s="11"/>
      <c r="I28" s="11"/>
      <c r="J28" s="11"/>
      <c r="K28" s="11"/>
      <c r="L28" s="11">
        <v>46444.500000000051</v>
      </c>
      <c r="M28" s="11">
        <v>44756.000000000007</v>
      </c>
      <c r="N28" s="11">
        <v>46592</v>
      </c>
      <c r="O28" s="11">
        <v>41719.500000000015</v>
      </c>
      <c r="P28" s="11">
        <v>34696</v>
      </c>
      <c r="Q28" s="11"/>
    </row>
    <row r="29" spans="1:17" ht="15.75" customHeight="1" x14ac:dyDescent="0.25">
      <c r="A29" s="2" t="s">
        <v>38</v>
      </c>
      <c r="B29" s="2" t="s">
        <v>168</v>
      </c>
      <c r="C29" s="11"/>
      <c r="D29" s="11"/>
      <c r="E29" s="11"/>
      <c r="F29" s="11"/>
      <c r="G29" s="11"/>
      <c r="H29" s="11"/>
      <c r="I29" s="11"/>
      <c r="J29" s="11"/>
      <c r="K29" s="11"/>
      <c r="L29" s="11">
        <v>26973.000000000036</v>
      </c>
      <c r="M29" s="11">
        <v>35310.999999999993</v>
      </c>
      <c r="N29" s="11">
        <v>29354.99999999996</v>
      </c>
      <c r="O29" s="11">
        <v>51396.500000000073</v>
      </c>
      <c r="P29" s="11">
        <v>24800</v>
      </c>
      <c r="Q29" s="11"/>
    </row>
    <row r="30" spans="1:17" ht="15.75" customHeight="1" x14ac:dyDescent="0.25">
      <c r="A30" s="2" t="s">
        <v>39</v>
      </c>
      <c r="B30" s="2" t="s">
        <v>168</v>
      </c>
      <c r="C30" s="11"/>
      <c r="D30" s="11"/>
      <c r="E30" s="11"/>
      <c r="F30" s="11"/>
      <c r="G30" s="11"/>
      <c r="H30" s="11"/>
      <c r="I30" s="11"/>
      <c r="J30" s="11"/>
      <c r="K30" s="11"/>
      <c r="L30" s="11">
        <v>20366.499999999956</v>
      </c>
      <c r="M30" s="11">
        <v>20119</v>
      </c>
      <c r="N30" s="11">
        <v>20621.000000000007</v>
      </c>
      <c r="O30" s="11">
        <v>19468.999999999909</v>
      </c>
      <c r="P30" s="11">
        <v>21550</v>
      </c>
      <c r="Q30" s="11"/>
    </row>
    <row r="31" spans="1:17" ht="15.75" customHeight="1" x14ac:dyDescent="0.25">
      <c r="A31" s="2" t="s">
        <v>40</v>
      </c>
      <c r="B31" s="2" t="s">
        <v>168</v>
      </c>
      <c r="C31" s="11"/>
      <c r="D31" s="11"/>
      <c r="E31" s="11"/>
      <c r="F31" s="11"/>
      <c r="G31" s="11"/>
      <c r="H31" s="11"/>
      <c r="I31" s="11"/>
      <c r="J31" s="11"/>
      <c r="K31" s="11"/>
      <c r="L31" s="11">
        <v>8498.4999999999418</v>
      </c>
      <c r="M31" s="11">
        <v>19832.500000000044</v>
      </c>
      <c r="N31" s="11">
        <v>14693.499999999996</v>
      </c>
      <c r="O31" s="11">
        <v>13224</v>
      </c>
      <c r="P31" s="11">
        <v>16574</v>
      </c>
      <c r="Q31" s="11"/>
    </row>
    <row r="32" spans="1:17" ht="15.75" customHeight="1" x14ac:dyDescent="0.25">
      <c r="A32" s="12" t="s">
        <v>41</v>
      </c>
      <c r="B32" s="2" t="s">
        <v>168</v>
      </c>
      <c r="C32" s="13">
        <v>0</v>
      </c>
      <c r="D32" s="13">
        <v>0</v>
      </c>
      <c r="E32" s="13">
        <f t="shared" ref="E32:P32" si="4">SUM(E20:E31)</f>
        <v>0</v>
      </c>
      <c r="F32" s="13">
        <f t="shared" si="4"/>
        <v>0</v>
      </c>
      <c r="G32" s="13">
        <f t="shared" si="4"/>
        <v>0</v>
      </c>
      <c r="H32" s="13">
        <f t="shared" si="4"/>
        <v>0</v>
      </c>
      <c r="I32" s="13">
        <f t="shared" si="4"/>
        <v>0</v>
      </c>
      <c r="J32" s="13">
        <f t="shared" si="4"/>
        <v>0</v>
      </c>
      <c r="K32" s="13">
        <f t="shared" si="4"/>
        <v>0</v>
      </c>
      <c r="L32" s="13">
        <f t="shared" si="4"/>
        <v>409224.00000000006</v>
      </c>
      <c r="M32" s="13">
        <f t="shared" si="4"/>
        <v>469138.00000000006</v>
      </c>
      <c r="N32" s="13">
        <f t="shared" si="4"/>
        <v>470760.99999999994</v>
      </c>
      <c r="O32" s="13">
        <f t="shared" si="4"/>
        <v>449552.49999999994</v>
      </c>
      <c r="P32" s="13">
        <f t="shared" si="4"/>
        <v>348278</v>
      </c>
      <c r="Q32" s="137">
        <f t="shared" ref="Q32" si="5">SUM(Q20:Q31)</f>
        <v>0</v>
      </c>
    </row>
    <row r="33" spans="1:17" ht="15.75" customHeight="1" x14ac:dyDescent="0.25">
      <c r="A33" s="14" t="s">
        <v>41</v>
      </c>
      <c r="B33" s="15" t="s">
        <v>169</v>
      </c>
      <c r="C33" s="16">
        <f t="shared" ref="C33:P33" si="6">C32*3600/10^6</f>
        <v>0</v>
      </c>
      <c r="D33" s="16">
        <f t="shared" si="6"/>
        <v>0</v>
      </c>
      <c r="E33" s="16">
        <f t="shared" si="6"/>
        <v>0</v>
      </c>
      <c r="F33" s="16">
        <f t="shared" si="6"/>
        <v>0</v>
      </c>
      <c r="G33" s="16">
        <f t="shared" si="6"/>
        <v>0</v>
      </c>
      <c r="H33" s="16">
        <f t="shared" si="6"/>
        <v>0</v>
      </c>
      <c r="I33" s="16">
        <f t="shared" si="6"/>
        <v>0</v>
      </c>
      <c r="J33" s="16">
        <f t="shared" si="6"/>
        <v>0</v>
      </c>
      <c r="K33" s="16">
        <f t="shared" si="6"/>
        <v>0</v>
      </c>
      <c r="L33" s="16">
        <f t="shared" si="6"/>
        <v>1473.2064000000003</v>
      </c>
      <c r="M33" s="16">
        <f t="shared" si="6"/>
        <v>1688.8968000000002</v>
      </c>
      <c r="N33" s="16">
        <f t="shared" si="6"/>
        <v>1694.7395999999997</v>
      </c>
      <c r="O33" s="16">
        <f t="shared" si="6"/>
        <v>1618.3889999999997</v>
      </c>
      <c r="P33" s="16">
        <f t="shared" si="6"/>
        <v>1253.8008</v>
      </c>
      <c r="Q33" s="140">
        <f t="shared" ref="Q33" si="7">Q32*3600/10^6</f>
        <v>0</v>
      </c>
    </row>
    <row r="34" spans="1:17" ht="15.75" customHeight="1" x14ac:dyDescent="0.25"/>
    <row r="35" spans="1:17" ht="15.75" customHeight="1" x14ac:dyDescent="0.25"/>
    <row r="36" spans="1:17" ht="15.75" customHeight="1" x14ac:dyDescent="0.25">
      <c r="A36" s="38"/>
      <c r="B36" s="204" t="s">
        <v>170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6"/>
    </row>
    <row r="37" spans="1:17" ht="15.75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41"/>
    </row>
    <row r="38" spans="1:17" ht="15.75" customHeight="1" x14ac:dyDescent="0.25">
      <c r="A38" s="2"/>
      <c r="B38" s="197">
        <v>2011</v>
      </c>
      <c r="C38" s="201"/>
      <c r="D38" s="197">
        <v>2012</v>
      </c>
      <c r="E38" s="201"/>
      <c r="F38" s="197">
        <v>2013</v>
      </c>
      <c r="G38" s="201"/>
      <c r="H38" s="197">
        <v>2014</v>
      </c>
      <c r="I38" s="201"/>
      <c r="J38" s="197">
        <v>2015</v>
      </c>
      <c r="K38" s="201"/>
      <c r="L38" s="197">
        <v>2016</v>
      </c>
      <c r="M38" s="201"/>
      <c r="N38" s="197">
        <v>2017</v>
      </c>
      <c r="O38" s="201"/>
      <c r="P38" s="197">
        <v>2018</v>
      </c>
      <c r="Q38" s="201"/>
    </row>
    <row r="39" spans="1:17" ht="15.75" customHeight="1" x14ac:dyDescent="0.25">
      <c r="A39" s="39" t="s">
        <v>171</v>
      </c>
      <c r="B39" s="203">
        <v>40.994999999999997</v>
      </c>
      <c r="C39" s="201"/>
      <c r="D39" s="207"/>
      <c r="E39" s="201"/>
      <c r="F39" s="202">
        <v>41.16</v>
      </c>
      <c r="G39" s="201"/>
      <c r="H39" s="202">
        <v>41.16</v>
      </c>
      <c r="I39" s="201"/>
      <c r="J39" s="202">
        <v>41.16</v>
      </c>
      <c r="K39" s="201"/>
      <c r="L39" s="202">
        <v>41.081000000000003</v>
      </c>
      <c r="M39" s="201"/>
      <c r="N39" s="202">
        <v>41.024999999999999</v>
      </c>
      <c r="O39" s="201"/>
      <c r="P39" s="202">
        <v>41.023000000000003</v>
      </c>
      <c r="Q39" s="201"/>
    </row>
    <row r="40" spans="1:17" ht="15.75" customHeight="1" x14ac:dyDescent="0.25">
      <c r="A40" s="2"/>
      <c r="B40" s="40" t="s">
        <v>172</v>
      </c>
      <c r="C40" s="41" t="s">
        <v>173</v>
      </c>
      <c r="D40" s="40" t="s">
        <v>172</v>
      </c>
      <c r="E40" s="41" t="s">
        <v>173</v>
      </c>
      <c r="F40" s="40" t="s">
        <v>172</v>
      </c>
      <c r="G40" s="41" t="s">
        <v>173</v>
      </c>
      <c r="H40" s="40" t="s">
        <v>172</v>
      </c>
      <c r="I40" s="41" t="s">
        <v>173</v>
      </c>
      <c r="J40" s="40" t="s">
        <v>172</v>
      </c>
      <c r="K40" s="42" t="s">
        <v>173</v>
      </c>
      <c r="L40" s="41" t="s">
        <v>172</v>
      </c>
      <c r="M40" s="42" t="s">
        <v>173</v>
      </c>
      <c r="N40" s="41" t="s">
        <v>172</v>
      </c>
      <c r="O40" s="42" t="s">
        <v>173</v>
      </c>
      <c r="P40" s="41" t="s">
        <v>172</v>
      </c>
      <c r="Q40" s="142" t="s">
        <v>173</v>
      </c>
    </row>
    <row r="41" spans="1:17" ht="15.75" customHeight="1" x14ac:dyDescent="0.25">
      <c r="A41" s="2" t="s">
        <v>23</v>
      </c>
      <c r="B41" s="2" t="s">
        <v>174</v>
      </c>
      <c r="C41" s="2" t="s">
        <v>175</v>
      </c>
      <c r="D41" s="2" t="s">
        <v>176</v>
      </c>
      <c r="E41" s="2" t="s">
        <v>177</v>
      </c>
      <c r="F41" s="2" t="s">
        <v>178</v>
      </c>
      <c r="G41" s="2" t="s">
        <v>179</v>
      </c>
      <c r="H41" s="2" t="s">
        <v>180</v>
      </c>
      <c r="I41" s="2" t="s">
        <v>181</v>
      </c>
      <c r="J41" s="2" t="s">
        <v>182</v>
      </c>
      <c r="K41" s="2" t="s">
        <v>183</v>
      </c>
      <c r="L41" s="2" t="s">
        <v>184</v>
      </c>
      <c r="M41" s="2" t="s">
        <v>185</v>
      </c>
      <c r="N41" s="2" t="s">
        <v>186</v>
      </c>
      <c r="O41" s="2" t="s">
        <v>187</v>
      </c>
      <c r="P41" s="2" t="s">
        <v>188</v>
      </c>
      <c r="Q41" s="141" t="s">
        <v>189</v>
      </c>
    </row>
    <row r="42" spans="1:17" ht="15.75" customHeight="1" x14ac:dyDescent="0.25">
      <c r="A42" s="2" t="s">
        <v>28</v>
      </c>
      <c r="B42" s="11"/>
      <c r="C42" s="11"/>
      <c r="D42" s="11"/>
      <c r="E42" s="11"/>
      <c r="F42" s="11">
        <v>87677</v>
      </c>
      <c r="G42" s="11">
        <f>'R. Energetiche-Comb. (letture)'!$F42*F$39/1000</f>
        <v>3608.78532</v>
      </c>
      <c r="H42" s="43">
        <v>91053</v>
      </c>
      <c r="I42" s="11">
        <f>'R. Energetiche-Comb. (letture)'!$H42*H$39/1000</f>
        <v>3747.7414799999997</v>
      </c>
      <c r="J42" s="11">
        <v>71430</v>
      </c>
      <c r="K42" s="11">
        <f>'R. Energetiche-Comb. (letture)'!$J42*J$39/1000</f>
        <v>2940.0587999999998</v>
      </c>
      <c r="L42" s="11">
        <v>87022</v>
      </c>
      <c r="M42" s="11">
        <f>'R. Energetiche-Comb. (letture)'!$L42*L$39/1000</f>
        <v>3574.9507820000003</v>
      </c>
      <c r="N42" s="11">
        <v>115093</v>
      </c>
      <c r="O42" s="11">
        <f>'R. Energetiche-Comb. (letture)'!$N42*N$39/1000</f>
        <v>4721.6903250000005</v>
      </c>
      <c r="P42" s="11">
        <v>44058</v>
      </c>
      <c r="Q42" s="139">
        <f>'R. Energetiche-Comb. (letture)'!$P42*P$39/1000</f>
        <v>1807.3913340000001</v>
      </c>
    </row>
    <row r="43" spans="1:17" ht="15.75" customHeight="1" x14ac:dyDescent="0.25">
      <c r="A43" s="2" t="s">
        <v>30</v>
      </c>
      <c r="B43" s="11"/>
      <c r="C43" s="11"/>
      <c r="D43" s="11"/>
      <c r="E43" s="11"/>
      <c r="F43" s="11">
        <v>142713</v>
      </c>
      <c r="G43" s="11">
        <f>'R. Energetiche-Comb. (letture)'!$F43*F$39/1000</f>
        <v>5874.0670799999989</v>
      </c>
      <c r="H43" s="43">
        <v>109402</v>
      </c>
      <c r="I43" s="11">
        <f>'R. Energetiche-Comb. (letture)'!$H43*H$39/1000</f>
        <v>4502.9863199999991</v>
      </c>
      <c r="J43" s="11">
        <v>152707</v>
      </c>
      <c r="K43" s="11">
        <f>'R. Energetiche-Comb. (letture)'!$J43*J$39/1000</f>
        <v>6285.4201199999989</v>
      </c>
      <c r="L43" s="11">
        <v>122388</v>
      </c>
      <c r="M43" s="11">
        <f>'R. Energetiche-Comb. (letture)'!$L43*L$39/1000</f>
        <v>5027.8214280000002</v>
      </c>
      <c r="N43" s="11">
        <v>112732</v>
      </c>
      <c r="O43" s="11">
        <f>'R. Energetiche-Comb. (letture)'!$N43*N$39/1000</f>
        <v>4624.8302999999996</v>
      </c>
      <c r="P43" s="11">
        <v>11065</v>
      </c>
      <c r="Q43" s="139">
        <f>'R. Energetiche-Comb. (letture)'!$P43*P$39/1000</f>
        <v>453.91949500000004</v>
      </c>
    </row>
    <row r="44" spans="1:17" ht="15.75" customHeight="1" x14ac:dyDescent="0.25">
      <c r="A44" s="2" t="s">
        <v>31</v>
      </c>
      <c r="B44" s="11"/>
      <c r="C44" s="11"/>
      <c r="D44" s="11"/>
      <c r="E44" s="11"/>
      <c r="F44" s="11">
        <v>129460</v>
      </c>
      <c r="G44" s="11">
        <f>'R. Energetiche-Comb. (letture)'!$F44*F$39/1000</f>
        <v>5328.5735999999997</v>
      </c>
      <c r="H44" s="43">
        <v>120020</v>
      </c>
      <c r="I44" s="11">
        <f>'R. Energetiche-Comb. (letture)'!$H44*H$39/1000</f>
        <v>4940.0231999999996</v>
      </c>
      <c r="J44" s="11">
        <v>114858</v>
      </c>
      <c r="K44" s="11">
        <f>'R. Energetiche-Comb. (letture)'!$J44*J$39/1000</f>
        <v>4727.5552799999996</v>
      </c>
      <c r="L44" s="11">
        <v>118854</v>
      </c>
      <c r="M44" s="11">
        <f>'R. Energetiche-Comb. (letture)'!$L44*L$39/1000</f>
        <v>4882.6411740000003</v>
      </c>
      <c r="N44" s="11">
        <v>122516</v>
      </c>
      <c r="O44" s="11">
        <f>'R. Energetiche-Comb. (letture)'!$N44*N$39/1000</f>
        <v>5026.2188999999998</v>
      </c>
      <c r="P44" s="11">
        <v>62098</v>
      </c>
      <c r="Q44" s="139">
        <f>'R. Energetiche-Comb. (letture)'!$P44*P$39/1000</f>
        <v>2547.4462540000004</v>
      </c>
    </row>
    <row r="45" spans="1:17" ht="15.75" customHeight="1" x14ac:dyDescent="0.25">
      <c r="A45" s="2" t="s">
        <v>32</v>
      </c>
      <c r="B45" s="11"/>
      <c r="C45" s="11"/>
      <c r="D45" s="11"/>
      <c r="E45" s="11"/>
      <c r="F45" s="11">
        <v>100169</v>
      </c>
      <c r="G45" s="11">
        <f>'R. Energetiche-Comb. (letture)'!$F45*F$39/1000</f>
        <v>4122.9560399999991</v>
      </c>
      <c r="H45" s="43">
        <v>103586</v>
      </c>
      <c r="I45" s="11">
        <f>'R. Energetiche-Comb. (letture)'!$H45*H$39/1000</f>
        <v>4263.5997600000001</v>
      </c>
      <c r="J45" s="11">
        <v>116844</v>
      </c>
      <c r="K45" s="11">
        <f>'R. Energetiche-Comb. (letture)'!$J45*J$39/1000</f>
        <v>4809.2990399999999</v>
      </c>
      <c r="L45" s="11">
        <v>98789</v>
      </c>
      <c r="M45" s="11">
        <f>'R. Energetiche-Comb. (letture)'!$L45*L$39/1000</f>
        <v>4058.3509090000002</v>
      </c>
      <c r="N45" s="11">
        <v>83619</v>
      </c>
      <c r="O45" s="11">
        <f>'R. Energetiche-Comb. (letture)'!$N45*N$39/1000</f>
        <v>3430.4694749999999</v>
      </c>
      <c r="P45" s="11"/>
      <c r="Q45" s="139">
        <f>'R. Energetiche-Comb. (letture)'!$P45*P$39/1000</f>
        <v>0</v>
      </c>
    </row>
    <row r="46" spans="1:17" ht="15.75" customHeight="1" x14ac:dyDescent="0.25">
      <c r="A46" s="2" t="s">
        <v>33</v>
      </c>
      <c r="B46" s="11"/>
      <c r="C46" s="11"/>
      <c r="D46" s="11"/>
      <c r="E46" s="11"/>
      <c r="F46" s="11">
        <v>111368</v>
      </c>
      <c r="G46" s="11">
        <f>'R. Energetiche-Comb. (letture)'!$F46*F$39/1000</f>
        <v>4583.9068799999995</v>
      </c>
      <c r="H46" s="43">
        <v>112355</v>
      </c>
      <c r="I46" s="11">
        <f>'R. Energetiche-Comb. (letture)'!$H46*H$39/1000</f>
        <v>4624.5317999999997</v>
      </c>
      <c r="J46" s="11">
        <v>100221</v>
      </c>
      <c r="K46" s="11">
        <f>'R. Energetiche-Comb. (letture)'!$J46*J$39/1000</f>
        <v>4125.0963599999995</v>
      </c>
      <c r="L46" s="11">
        <v>104377</v>
      </c>
      <c r="M46" s="11">
        <f>'R. Energetiche-Comb. (letture)'!$L46*L$39/1000</f>
        <v>4287.9115370000009</v>
      </c>
      <c r="N46" s="11">
        <v>106391</v>
      </c>
      <c r="O46" s="11">
        <f>'R. Energetiche-Comb. (letture)'!$N46*N$39/1000</f>
        <v>4364.6907749999991</v>
      </c>
      <c r="P46" s="11"/>
      <c r="Q46" s="139">
        <f>'R. Energetiche-Comb. (letture)'!$P46*P$39/1000</f>
        <v>0</v>
      </c>
    </row>
    <row r="47" spans="1:17" ht="15.75" customHeight="1" x14ac:dyDescent="0.25">
      <c r="A47" s="2" t="s">
        <v>34</v>
      </c>
      <c r="B47" s="11"/>
      <c r="C47" s="11"/>
      <c r="D47" s="11"/>
      <c r="E47" s="11"/>
      <c r="F47" s="11">
        <v>98937</v>
      </c>
      <c r="G47" s="11">
        <f>'R. Energetiche-Comb. (letture)'!$F47*F$39/1000</f>
        <v>4072.2469199999996</v>
      </c>
      <c r="H47" s="43">
        <v>112358</v>
      </c>
      <c r="I47" s="11">
        <f>'R. Energetiche-Comb. (letture)'!$H47*H$39/1000</f>
        <v>4624.655279999999</v>
      </c>
      <c r="J47" s="11">
        <v>85188</v>
      </c>
      <c r="K47" s="11">
        <f>'R. Energetiche-Comb. (letture)'!$J47*J$39/1000</f>
        <v>3506.3380799999995</v>
      </c>
      <c r="L47" s="11">
        <v>92682</v>
      </c>
      <c r="M47" s="11">
        <f>'R. Energetiche-Comb. (letture)'!$L47*L$39/1000</f>
        <v>3807.4692420000001</v>
      </c>
      <c r="N47" s="11">
        <v>97795</v>
      </c>
      <c r="O47" s="11">
        <f>'R. Energetiche-Comb. (letture)'!$N47*N$39/1000</f>
        <v>4012.0398749999999</v>
      </c>
      <c r="P47" s="11"/>
      <c r="Q47" s="139">
        <f>'R. Energetiche-Comb. (letture)'!$P47*P$39/1000</f>
        <v>0</v>
      </c>
    </row>
    <row r="48" spans="1:17" ht="15.75" customHeight="1" x14ac:dyDescent="0.25">
      <c r="A48" s="2" t="s">
        <v>35</v>
      </c>
      <c r="B48" s="11"/>
      <c r="C48" s="11"/>
      <c r="D48" s="11"/>
      <c r="E48" s="11"/>
      <c r="F48" s="11">
        <v>112527</v>
      </c>
      <c r="G48" s="11">
        <f>'R. Energetiche-Comb. (letture)'!$F48*F$39/1000</f>
        <v>4631.6113199999991</v>
      </c>
      <c r="H48" s="43">
        <v>122041</v>
      </c>
      <c r="I48" s="11">
        <f>'R. Energetiche-Comb. (letture)'!$H48*H$39/1000</f>
        <v>5023.2075599999998</v>
      </c>
      <c r="J48" s="11">
        <v>85951</v>
      </c>
      <c r="K48" s="11">
        <f>'R. Energetiche-Comb. (letture)'!$J48*J$39/1000</f>
        <v>3537.7431599999995</v>
      </c>
      <c r="L48" s="11">
        <v>93068</v>
      </c>
      <c r="M48" s="11">
        <f>'R. Energetiche-Comb. (letture)'!$L48*L$39/1000</f>
        <v>3823.3265080000006</v>
      </c>
      <c r="N48" s="11">
        <v>88689</v>
      </c>
      <c r="O48" s="11">
        <f>'R. Energetiche-Comb. (letture)'!$N48*N$39/1000</f>
        <v>3638.4662250000001</v>
      </c>
      <c r="P48" s="11"/>
      <c r="Q48" s="139">
        <f>'R. Energetiche-Comb. (letture)'!$P48*P$39/1000</f>
        <v>0</v>
      </c>
    </row>
    <row r="49" spans="1:19" ht="15.75" customHeight="1" x14ac:dyDescent="0.25">
      <c r="A49" s="2" t="s">
        <v>36</v>
      </c>
      <c r="B49" s="11"/>
      <c r="C49" s="11"/>
      <c r="D49" s="11"/>
      <c r="E49" s="11"/>
      <c r="F49" s="11">
        <v>23747</v>
      </c>
      <c r="G49" s="11">
        <f>'R. Energetiche-Comb. (letture)'!$F49*F$39/1000</f>
        <v>977.42651999999987</v>
      </c>
      <c r="H49" s="43">
        <v>3326</v>
      </c>
      <c r="I49" s="11">
        <f>'R. Energetiche-Comb. (letture)'!$H49*H$39/1000</f>
        <v>136.89815999999996</v>
      </c>
      <c r="J49" s="11">
        <v>7064</v>
      </c>
      <c r="K49" s="11">
        <f>'R. Energetiche-Comb. (letture)'!$J49*J$39/1000</f>
        <v>290.75423999999998</v>
      </c>
      <c r="L49" s="11">
        <v>15159</v>
      </c>
      <c r="M49" s="11">
        <f>'R. Energetiche-Comb. (letture)'!$L49*L$39/1000</f>
        <v>622.74687900000004</v>
      </c>
      <c r="N49" s="11">
        <v>18850</v>
      </c>
      <c r="O49" s="11">
        <f>'R. Energetiche-Comb. (letture)'!$N49*N$39/1000</f>
        <v>773.32124999999996</v>
      </c>
      <c r="P49" s="11"/>
      <c r="Q49" s="139">
        <f>'R. Energetiche-Comb. (letture)'!$P49*P$39/1000</f>
        <v>0</v>
      </c>
    </row>
    <row r="50" spans="1:19" ht="15.75" customHeight="1" x14ac:dyDescent="0.25">
      <c r="A50" s="2" t="s">
        <v>37</v>
      </c>
      <c r="B50" s="11"/>
      <c r="C50" s="11"/>
      <c r="D50" s="11"/>
      <c r="E50" s="11"/>
      <c r="F50" s="11">
        <v>98869</v>
      </c>
      <c r="G50" s="11">
        <f>'R. Energetiche-Comb. (letture)'!$F50*F$39/1000</f>
        <v>4069.4480399999998</v>
      </c>
      <c r="H50" s="43">
        <v>121045</v>
      </c>
      <c r="I50" s="11">
        <f>'R. Energetiche-Comb. (letture)'!$H50*H$39/1000</f>
        <v>4982.212199999999</v>
      </c>
      <c r="J50" s="11">
        <v>93664</v>
      </c>
      <c r="K50" s="11">
        <f>'R. Energetiche-Comb. (letture)'!$J50*J$39/1000</f>
        <v>3855.2102399999999</v>
      </c>
      <c r="L50" s="11">
        <v>109319</v>
      </c>
      <c r="M50" s="11">
        <f>'R. Energetiche-Comb. (letture)'!$L50*L$39/1000</f>
        <v>4490.9338390000003</v>
      </c>
      <c r="N50" s="11">
        <v>95008</v>
      </c>
      <c r="O50" s="11">
        <f>'R. Energetiche-Comb. (letture)'!$N50*N$39/1000</f>
        <v>3897.7031999999999</v>
      </c>
      <c r="P50" s="11"/>
      <c r="Q50" s="139">
        <f>'R. Energetiche-Comb. (letture)'!$P50*P$39/1000</f>
        <v>0</v>
      </c>
    </row>
    <row r="51" spans="1:19" ht="15.75" customHeight="1" x14ac:dyDescent="0.25">
      <c r="A51" s="2" t="s">
        <v>38</v>
      </c>
      <c r="B51" s="11"/>
      <c r="C51" s="11"/>
      <c r="D51" s="11"/>
      <c r="E51" s="11"/>
      <c r="F51" s="11">
        <v>113265</v>
      </c>
      <c r="G51" s="11">
        <f>'R. Energetiche-Comb. (letture)'!$F51*F$39/1000</f>
        <v>4661.9873999999991</v>
      </c>
      <c r="H51" s="43">
        <v>127655</v>
      </c>
      <c r="I51" s="11">
        <f>'R. Energetiche-Comb. (letture)'!$H51*H$39/1000</f>
        <v>5254.2798000000003</v>
      </c>
      <c r="J51" s="11">
        <v>101989</v>
      </c>
      <c r="K51" s="11">
        <f>'R. Energetiche-Comb. (letture)'!$J51*J$39/1000</f>
        <v>4197.8672399999996</v>
      </c>
      <c r="L51" s="11">
        <v>101519</v>
      </c>
      <c r="M51" s="11">
        <f>'R. Energetiche-Comb. (letture)'!$L51*L$39/1000</f>
        <v>4170.502039</v>
      </c>
      <c r="N51" s="11">
        <v>102006</v>
      </c>
      <c r="O51" s="11">
        <f>'R. Energetiche-Comb. (letture)'!$N51*N$39/1000</f>
        <v>4184.7961500000001</v>
      </c>
      <c r="P51" s="11"/>
      <c r="Q51" s="139">
        <f>'R. Energetiche-Comb. (letture)'!$P51*P$39/1000</f>
        <v>0</v>
      </c>
    </row>
    <row r="52" spans="1:19" ht="15.75" customHeight="1" x14ac:dyDescent="0.25">
      <c r="A52" s="2" t="s">
        <v>39</v>
      </c>
      <c r="B52" s="11"/>
      <c r="C52" s="11"/>
      <c r="D52" s="11"/>
      <c r="E52" s="11"/>
      <c r="F52" s="11">
        <v>105772</v>
      </c>
      <c r="G52" s="11">
        <f>'R. Energetiche-Comb. (letture)'!$F52*F$39/1000</f>
        <v>4353.5755199999994</v>
      </c>
      <c r="H52" s="43">
        <v>114955</v>
      </c>
      <c r="I52" s="11">
        <f>'R. Energetiche-Comb. (letture)'!$H52*H$39/1000</f>
        <v>4731.5477999999994</v>
      </c>
      <c r="J52" s="11">
        <v>101845</v>
      </c>
      <c r="K52" s="11">
        <f>'R. Energetiche-Comb. (letture)'!$J52*J$39/1000</f>
        <v>4191.9402</v>
      </c>
      <c r="L52" s="11">
        <v>93220</v>
      </c>
      <c r="M52" s="11">
        <f>'R. Energetiche-Comb. (letture)'!$L52*L$39/1000</f>
        <v>3829.5708200000004</v>
      </c>
      <c r="N52" s="11">
        <v>107148</v>
      </c>
      <c r="O52" s="11">
        <f>'R. Energetiche-Comb. (letture)'!$N52*N$39/1000</f>
        <v>4395.7467000000006</v>
      </c>
      <c r="P52" s="11"/>
      <c r="Q52" s="139">
        <f>'R. Energetiche-Comb. (letture)'!$P52*P$39/1000</f>
        <v>0</v>
      </c>
    </row>
    <row r="53" spans="1:19" ht="15.75" customHeight="1" x14ac:dyDescent="0.25">
      <c r="A53" s="2" t="s">
        <v>40</v>
      </c>
      <c r="B53" s="11"/>
      <c r="C53" s="11"/>
      <c r="D53" s="11"/>
      <c r="E53" s="11"/>
      <c r="F53" s="11">
        <v>86422</v>
      </c>
      <c r="G53" s="11">
        <f>'R. Energetiche-Comb. (letture)'!$F53*F$39/1000</f>
        <v>3557.1295199999995</v>
      </c>
      <c r="H53" s="43">
        <v>85563</v>
      </c>
      <c r="I53" s="11">
        <f>'R. Energetiche-Comb. (letture)'!$H53*H$39/1000</f>
        <v>3521.7730799999995</v>
      </c>
      <c r="J53" s="11">
        <v>69079</v>
      </c>
      <c r="K53" s="11">
        <f>'R. Energetiche-Comb. (letture)'!$J53*J$39/1000</f>
        <v>2843.2916399999995</v>
      </c>
      <c r="L53" s="11">
        <v>114084</v>
      </c>
      <c r="M53" s="11">
        <f>'R. Energetiche-Comb. (letture)'!$L53*L$39/1000</f>
        <v>4686.6848040000004</v>
      </c>
      <c r="N53" s="11">
        <v>54330</v>
      </c>
      <c r="O53" s="11">
        <f>'R. Energetiche-Comb. (letture)'!$N53*N$39/1000</f>
        <v>2228.88825</v>
      </c>
      <c r="P53" s="11"/>
      <c r="Q53" s="139">
        <f>'R. Energetiche-Comb. (letture)'!$P53*P$39/1000</f>
        <v>0</v>
      </c>
    </row>
    <row r="54" spans="1:19" ht="15.75" customHeight="1" x14ac:dyDescent="0.25">
      <c r="A54" s="12" t="s">
        <v>41</v>
      </c>
      <c r="B54" s="13">
        <v>1202754</v>
      </c>
      <c r="C54" s="13">
        <f>'R. Energetiche-Comb. (letture)'!$B54*B39/1000</f>
        <v>49306.900229999999</v>
      </c>
      <c r="D54" s="13">
        <f t="shared" ref="D54:Q54" si="8">SUM(D42:D53)</f>
        <v>0</v>
      </c>
      <c r="E54" s="13">
        <f t="shared" si="8"/>
        <v>0</v>
      </c>
      <c r="F54" s="13">
        <f t="shared" si="8"/>
        <v>1210926</v>
      </c>
      <c r="G54" s="13">
        <f t="shared" si="8"/>
        <v>49841.714159999996</v>
      </c>
      <c r="H54" s="13">
        <f t="shared" si="8"/>
        <v>1223359</v>
      </c>
      <c r="I54" s="13">
        <f t="shared" si="8"/>
        <v>50353.456439999994</v>
      </c>
      <c r="J54" s="13">
        <f t="shared" si="8"/>
        <v>1100840</v>
      </c>
      <c r="K54" s="13">
        <f t="shared" si="8"/>
        <v>45310.574399999983</v>
      </c>
      <c r="L54" s="13">
        <f t="shared" si="8"/>
        <v>1150481</v>
      </c>
      <c r="M54" s="13">
        <f t="shared" si="8"/>
        <v>47262.909960999998</v>
      </c>
      <c r="N54" s="13">
        <f t="shared" si="8"/>
        <v>1104177</v>
      </c>
      <c r="O54" s="13">
        <f t="shared" si="8"/>
        <v>45298.86142500001</v>
      </c>
      <c r="P54" s="13">
        <f t="shared" si="8"/>
        <v>117221</v>
      </c>
      <c r="Q54" s="137">
        <f t="shared" si="8"/>
        <v>4808.7570830000004</v>
      </c>
    </row>
    <row r="55" spans="1:19" ht="15.75" customHeight="1" x14ac:dyDescent="0.25">
      <c r="A55" s="12" t="s">
        <v>190</v>
      </c>
      <c r="B55" s="13"/>
      <c r="C55" s="13">
        <f>C54/3.6</f>
        <v>13696.361175</v>
      </c>
      <c r="D55" s="13"/>
      <c r="E55" s="13">
        <f>E54/3.6</f>
        <v>0</v>
      </c>
      <c r="F55" s="13"/>
      <c r="G55" s="13">
        <f>G54/3.6</f>
        <v>13844.920599999998</v>
      </c>
      <c r="H55" s="13"/>
      <c r="I55" s="13">
        <f>I54/3.6</f>
        <v>13987.071233333332</v>
      </c>
      <c r="J55" s="13"/>
      <c r="K55" s="13">
        <f>K54/3.6</f>
        <v>12586.270666666662</v>
      </c>
      <c r="L55" s="13"/>
      <c r="M55" s="13">
        <f>M54/3.6</f>
        <v>13128.586100277776</v>
      </c>
      <c r="N55" s="13"/>
      <c r="O55" s="13">
        <f>O54/3.6</f>
        <v>12583.017062500003</v>
      </c>
      <c r="P55" s="13"/>
      <c r="Q55" s="137">
        <f>Q54/3.6</f>
        <v>1335.765856388889</v>
      </c>
    </row>
    <row r="56" spans="1:19" ht="15.75" customHeight="1" x14ac:dyDescent="0.25"/>
    <row r="57" spans="1:19" ht="15.75" customHeight="1" x14ac:dyDescent="0.25"/>
    <row r="58" spans="1:19" ht="15.75" customHeight="1" x14ac:dyDescent="0.25">
      <c r="A58" s="44"/>
      <c r="B58" s="200" t="s">
        <v>191</v>
      </c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</row>
    <row r="59" spans="1:19" ht="15.75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41"/>
    </row>
    <row r="60" spans="1:19" ht="15.75" customHeight="1" x14ac:dyDescent="0.25">
      <c r="A60" s="2"/>
      <c r="B60" s="197">
        <v>2017</v>
      </c>
      <c r="C60" s="201"/>
      <c r="D60" s="197">
        <v>2018</v>
      </c>
      <c r="E60" s="201"/>
      <c r="F60" s="197">
        <v>2019</v>
      </c>
      <c r="G60" s="201"/>
      <c r="H60" s="197">
        <v>2020</v>
      </c>
      <c r="I60" s="201"/>
      <c r="J60" s="197">
        <v>2021</v>
      </c>
      <c r="K60" s="201"/>
      <c r="L60" s="197">
        <v>2022</v>
      </c>
      <c r="M60" s="201"/>
      <c r="N60" s="197">
        <v>2023</v>
      </c>
      <c r="O60" s="201"/>
      <c r="P60" s="197">
        <v>2024</v>
      </c>
      <c r="Q60" s="198"/>
      <c r="R60" s="197">
        <v>2025</v>
      </c>
      <c r="S60" s="198"/>
    </row>
    <row r="61" spans="1:19" ht="15.75" customHeight="1" x14ac:dyDescent="0.25">
      <c r="A61" s="39" t="s">
        <v>171</v>
      </c>
      <c r="B61" s="203">
        <v>35.134</v>
      </c>
      <c r="C61" s="201"/>
      <c r="D61" s="207">
        <v>35.253</v>
      </c>
      <c r="E61" s="201"/>
      <c r="F61" s="202">
        <v>35.302999999999997</v>
      </c>
      <c r="G61" s="201"/>
      <c r="H61" s="202">
        <v>35.280999999999999</v>
      </c>
      <c r="I61" s="201"/>
      <c r="J61" s="202">
        <v>35.280999999999999</v>
      </c>
      <c r="K61" s="201"/>
      <c r="L61" s="202">
        <v>35.337000000000003</v>
      </c>
      <c r="M61" s="201"/>
      <c r="N61" s="202">
        <v>35.457000000000001</v>
      </c>
      <c r="O61" s="201"/>
      <c r="P61" s="202">
        <v>35.584000000000003</v>
      </c>
      <c r="Q61" s="201"/>
      <c r="R61" s="199">
        <v>35.584000000000003</v>
      </c>
      <c r="S61" s="198"/>
    </row>
    <row r="62" spans="1:19" ht="15.75" customHeight="1" x14ac:dyDescent="0.25">
      <c r="A62" s="2"/>
      <c r="B62" s="40" t="s">
        <v>192</v>
      </c>
      <c r="C62" s="41" t="s">
        <v>173</v>
      </c>
      <c r="D62" s="40" t="s">
        <v>192</v>
      </c>
      <c r="E62" s="41" t="s">
        <v>173</v>
      </c>
      <c r="F62" s="40" t="s">
        <v>192</v>
      </c>
      <c r="G62" s="41" t="s">
        <v>173</v>
      </c>
      <c r="H62" s="40" t="s">
        <v>192</v>
      </c>
      <c r="I62" s="41" t="s">
        <v>173</v>
      </c>
      <c r="J62" s="40" t="s">
        <v>192</v>
      </c>
      <c r="K62" s="41" t="s">
        <v>173</v>
      </c>
      <c r="L62" s="40" t="s">
        <v>192</v>
      </c>
      <c r="M62" s="41" t="s">
        <v>173</v>
      </c>
      <c r="N62" s="40" t="s">
        <v>192</v>
      </c>
      <c r="O62" s="41" t="s">
        <v>173</v>
      </c>
      <c r="P62" s="40" t="s">
        <v>192</v>
      </c>
      <c r="Q62" s="143" t="s">
        <v>173</v>
      </c>
      <c r="R62" s="40" t="s">
        <v>192</v>
      </c>
      <c r="S62" s="143" t="s">
        <v>173</v>
      </c>
    </row>
    <row r="63" spans="1:19" ht="15.75" customHeight="1" x14ac:dyDescent="0.25">
      <c r="A63" s="2" t="s">
        <v>23</v>
      </c>
      <c r="B63" s="2" t="s">
        <v>193</v>
      </c>
      <c r="C63" s="2" t="s">
        <v>187</v>
      </c>
      <c r="D63" s="2" t="s">
        <v>194</v>
      </c>
      <c r="E63" s="2" t="s">
        <v>189</v>
      </c>
      <c r="F63" s="2" t="s">
        <v>195</v>
      </c>
      <c r="G63" s="2" t="s">
        <v>196</v>
      </c>
      <c r="H63" s="2" t="s">
        <v>197</v>
      </c>
      <c r="I63" s="2" t="s">
        <v>198</v>
      </c>
      <c r="J63" s="2" t="s">
        <v>199</v>
      </c>
      <c r="K63" s="2" t="s">
        <v>200</v>
      </c>
      <c r="L63" s="2" t="s">
        <v>201</v>
      </c>
      <c r="M63" s="2" t="s">
        <v>202</v>
      </c>
      <c r="N63" s="2" t="s">
        <v>203</v>
      </c>
      <c r="O63" s="2" t="s">
        <v>204</v>
      </c>
      <c r="P63" s="2" t="s">
        <v>205</v>
      </c>
      <c r="Q63" s="141" t="s">
        <v>206</v>
      </c>
      <c r="R63" s="145" t="s">
        <v>464</v>
      </c>
      <c r="S63" s="145" t="s">
        <v>465</v>
      </c>
    </row>
    <row r="64" spans="1:19" ht="15.75" customHeight="1" x14ac:dyDescent="0.25">
      <c r="A64" s="2" t="s">
        <v>28</v>
      </c>
      <c r="B64" s="11"/>
      <c r="C64" s="11">
        <f>'R. Energetiche-Comb. (letture)'!$B64*B$61/1000</f>
        <v>0</v>
      </c>
      <c r="D64" s="11">
        <v>65564</v>
      </c>
      <c r="E64" s="11">
        <f>'R. Energetiche-Comb. (letture)'!$D64*D$61/1000</f>
        <v>2311.3276919999998</v>
      </c>
      <c r="F64" s="11">
        <v>119261</v>
      </c>
      <c r="G64" s="11">
        <f>'R. Energetiche-Comb. (letture)'!$F64*F$61/1000</f>
        <v>4210.2710829999996</v>
      </c>
      <c r="H64" s="43">
        <v>113392</v>
      </c>
      <c r="I64" s="11">
        <f>'R. Energetiche-Comb. (letture)'!$H64*H$61/1000</f>
        <v>4000.5831519999997</v>
      </c>
      <c r="J64" s="11">
        <v>74858</v>
      </c>
      <c r="K64" s="11">
        <f>'R. Energetiche-Comb. (letture)'!$J64*J$61/1000</f>
        <v>2641.0650979999996</v>
      </c>
      <c r="L64" s="11">
        <v>93468</v>
      </c>
      <c r="M64" s="11">
        <f>'R. Energetiche-Comb. (letture)'!$L64*L$61/1000</f>
        <v>3302.8787160000006</v>
      </c>
      <c r="N64" s="11">
        <v>104285</v>
      </c>
      <c r="O64" s="11">
        <f>'R. Energetiche-Comb. (letture)'!$N64*N$61/1000</f>
        <v>3697.633245</v>
      </c>
      <c r="P64" s="11">
        <v>81654</v>
      </c>
      <c r="Q64" s="146">
        <f>'R. Energetiche-Comb. (letture)'!$P64*P$61/1000</f>
        <v>2905.5759360000002</v>
      </c>
      <c r="R64" s="11"/>
      <c r="S64" s="149">
        <f>Tabella_Metano[[#This Row],[2025 m3]]*$R$61/1000</f>
        <v>0</v>
      </c>
    </row>
    <row r="65" spans="1:19" ht="15.75" customHeight="1" x14ac:dyDescent="0.25">
      <c r="A65" s="2" t="s">
        <v>30</v>
      </c>
      <c r="B65" s="11"/>
      <c r="C65" s="11">
        <f>'R. Energetiche-Comb. (letture)'!$B65*B$61/1000</f>
        <v>0</v>
      </c>
      <c r="D65" s="11">
        <v>106998</v>
      </c>
      <c r="E65" s="11">
        <f>'R. Energetiche-Comb. (letture)'!$D65*D$61/1000</f>
        <v>3772.0004939999999</v>
      </c>
      <c r="F65" s="11">
        <v>118740</v>
      </c>
      <c r="G65" s="11">
        <f>'R. Energetiche-Comb. (letture)'!$F65*F$61/1000</f>
        <v>4191.8782199999996</v>
      </c>
      <c r="H65" s="43">
        <v>95716</v>
      </c>
      <c r="I65" s="11">
        <f>'R. Energetiche-Comb. (letture)'!$H65*H$61/1000</f>
        <v>3376.9561960000001</v>
      </c>
      <c r="J65" s="11">
        <v>84849</v>
      </c>
      <c r="K65" s="11">
        <f>'R. Energetiche-Comb. (letture)'!$J65*J$61/1000</f>
        <v>2993.5575689999996</v>
      </c>
      <c r="L65" s="11">
        <v>114623</v>
      </c>
      <c r="M65" s="11">
        <f>'R. Energetiche-Comb. (letture)'!$L65*L$61/1000</f>
        <v>4050.4329510000002</v>
      </c>
      <c r="N65" s="11">
        <v>119096</v>
      </c>
      <c r="O65" s="11">
        <f>'R. Energetiche-Comb. (letture)'!$N65*N$61/1000</f>
        <v>4222.7868720000006</v>
      </c>
      <c r="P65" s="11">
        <v>86648</v>
      </c>
      <c r="Q65" s="146">
        <f>'R. Energetiche-Comb. (letture)'!$P65*P$61/1000</f>
        <v>3083.2824320000004</v>
      </c>
      <c r="R65" s="11"/>
      <c r="S65" s="149">
        <f>Tabella_Metano[[#This Row],[2025 m3]]*$R$61/1000</f>
        <v>0</v>
      </c>
    </row>
    <row r="66" spans="1:19" ht="15.75" customHeight="1" x14ac:dyDescent="0.25">
      <c r="A66" s="2" t="s">
        <v>31</v>
      </c>
      <c r="B66" s="11"/>
      <c r="C66" s="11">
        <f>'R. Energetiche-Comb. (letture)'!$B66*B$61/1000</f>
        <v>0</v>
      </c>
      <c r="D66" s="11">
        <v>58732</v>
      </c>
      <c r="E66" s="11">
        <f>'R. Energetiche-Comb. (letture)'!$D66*D$61/1000</f>
        <v>2070.4791959999998</v>
      </c>
      <c r="F66" s="11">
        <v>117896</v>
      </c>
      <c r="G66" s="11">
        <f>'R. Energetiche-Comb. (letture)'!$F66*F$61/1000</f>
        <v>4162.082488</v>
      </c>
      <c r="H66" s="43">
        <v>63151</v>
      </c>
      <c r="I66" s="11">
        <f>'R. Energetiche-Comb. (letture)'!$H66*H$61/1000</f>
        <v>2228.0304309999997</v>
      </c>
      <c r="J66" s="11">
        <v>97763</v>
      </c>
      <c r="K66" s="11">
        <f>'R. Energetiche-Comb. (letture)'!$J66*J$61/1000</f>
        <v>3449.1764029999999</v>
      </c>
      <c r="L66" s="11">
        <v>117490</v>
      </c>
      <c r="M66" s="11">
        <f>'R. Energetiche-Comb. (letture)'!$L66*L$61/1000</f>
        <v>4151.74413</v>
      </c>
      <c r="N66" s="11">
        <v>119324</v>
      </c>
      <c r="O66" s="11">
        <f>'R. Energetiche-Comb. (letture)'!$N66*N$61/1000</f>
        <v>4230.8710680000004</v>
      </c>
      <c r="P66" s="11">
        <v>79821</v>
      </c>
      <c r="Q66" s="146">
        <f>'R. Energetiche-Comb. (letture)'!$P66*P$61/1000</f>
        <v>2840.3504640000001</v>
      </c>
      <c r="R66" s="11"/>
      <c r="S66" s="149">
        <f>Tabella_Metano[[#This Row],[2025 m3]]*$R$61/1000</f>
        <v>0</v>
      </c>
    </row>
    <row r="67" spans="1:19" ht="15.75" customHeight="1" x14ac:dyDescent="0.25">
      <c r="A67" s="2" t="s">
        <v>32</v>
      </c>
      <c r="B67" s="11"/>
      <c r="C67" s="11">
        <f>'R. Energetiche-Comb. (letture)'!$B67*B$61/1000</f>
        <v>0</v>
      </c>
      <c r="D67" s="11">
        <v>94804</v>
      </c>
      <c r="E67" s="11">
        <f>'R. Energetiche-Comb. (letture)'!$D67*D$61/1000</f>
        <v>3342.1254119999999</v>
      </c>
      <c r="F67" s="11">
        <v>111418</v>
      </c>
      <c r="G67" s="11">
        <f>'R. Energetiche-Comb. (letture)'!$F67*F$61/1000</f>
        <v>3933.3896539999996</v>
      </c>
      <c r="H67" s="43">
        <v>5570</v>
      </c>
      <c r="I67" s="11">
        <f>'R. Energetiche-Comb. (letture)'!$H67*H$61/1000</f>
        <v>196.51516999999998</v>
      </c>
      <c r="J67" s="11">
        <v>86000</v>
      </c>
      <c r="K67" s="11">
        <f>'R. Energetiche-Comb. (letture)'!$J67*J$61/1000</f>
        <v>3034.1660000000002</v>
      </c>
      <c r="L67" s="11">
        <v>97725</v>
      </c>
      <c r="M67" s="11">
        <f>'R. Energetiche-Comb. (letture)'!$L67*L$61/1000</f>
        <v>3453.308325</v>
      </c>
      <c r="N67" s="11">
        <v>44321</v>
      </c>
      <c r="O67" s="11">
        <f>'R. Energetiche-Comb. (letture)'!$N67*N$61/1000</f>
        <v>1571.489697</v>
      </c>
      <c r="P67" s="11">
        <v>66357</v>
      </c>
      <c r="Q67" s="146">
        <f>'R. Energetiche-Comb. (letture)'!$P67*P$61/1000</f>
        <v>2361.2474880000004</v>
      </c>
      <c r="R67" s="11"/>
      <c r="S67" s="149">
        <f>Tabella_Metano[[#This Row],[2025 m3]]*$R$61/1000</f>
        <v>0</v>
      </c>
    </row>
    <row r="68" spans="1:19" ht="15.75" customHeight="1" x14ac:dyDescent="0.25">
      <c r="A68" s="2" t="s">
        <v>33</v>
      </c>
      <c r="B68" s="11"/>
      <c r="C68" s="11">
        <f>'R. Energetiche-Comb. (letture)'!$B68*B$61/1000</f>
        <v>0</v>
      </c>
      <c r="D68" s="11">
        <v>106380</v>
      </c>
      <c r="E68" s="11">
        <f>'R. Energetiche-Comb. (letture)'!$D68*D$61/1000</f>
        <v>3750.21414</v>
      </c>
      <c r="F68" s="11">
        <v>100373</v>
      </c>
      <c r="G68" s="11">
        <f>'R. Energetiche-Comb. (letture)'!$F68*F$61/1000</f>
        <v>3543.4680189999999</v>
      </c>
      <c r="H68" s="43">
        <v>65967</v>
      </c>
      <c r="I68" s="11">
        <f>'R. Energetiche-Comb. (letture)'!$H68*H$61/1000</f>
        <v>2327.381727</v>
      </c>
      <c r="J68" s="11">
        <v>80124</v>
      </c>
      <c r="K68" s="11">
        <f>'R. Energetiche-Comb. (letture)'!$J68*J$61/1000</f>
        <v>2826.854844</v>
      </c>
      <c r="L68" s="11">
        <v>116292</v>
      </c>
      <c r="M68" s="11">
        <f>'R. Energetiche-Comb. (letture)'!$L68*L$61/1000</f>
        <v>4109.4104040000002</v>
      </c>
      <c r="N68" s="11">
        <v>58708</v>
      </c>
      <c r="O68" s="11">
        <f>'R. Energetiche-Comb. (letture)'!$N68*N$61/1000</f>
        <v>2081.6095559999999</v>
      </c>
      <c r="P68" s="11">
        <v>86249</v>
      </c>
      <c r="Q68" s="146">
        <f>'R. Energetiche-Comb. (letture)'!$P68*P$61/1000</f>
        <v>3069.0844160000001</v>
      </c>
      <c r="R68" s="11"/>
      <c r="S68" s="149">
        <f>Tabella_Metano[[#This Row],[2025 m3]]*$R$61/1000</f>
        <v>0</v>
      </c>
    </row>
    <row r="69" spans="1:19" ht="15.75" customHeight="1" x14ac:dyDescent="0.25">
      <c r="A69" s="2" t="s">
        <v>34</v>
      </c>
      <c r="B69" s="11"/>
      <c r="C69" s="11">
        <f>'R. Energetiche-Comb. (letture)'!$B69*B$61/1000</f>
        <v>0</v>
      </c>
      <c r="D69" s="11">
        <v>80983</v>
      </c>
      <c r="E69" s="11">
        <f>'R. Energetiche-Comb. (letture)'!$D69*D$61/1000</f>
        <v>2854.8936990000002</v>
      </c>
      <c r="F69" s="11">
        <v>77779</v>
      </c>
      <c r="G69" s="11">
        <f>'R. Energetiche-Comb. (letture)'!$F69*F$61/1000</f>
        <v>2745.8320370000001</v>
      </c>
      <c r="H69" s="43">
        <v>63410</v>
      </c>
      <c r="I69" s="11">
        <f>'R. Energetiche-Comb. (letture)'!$H69*H$61/1000</f>
        <v>2237.1682099999998</v>
      </c>
      <c r="J69" s="11">
        <v>68041</v>
      </c>
      <c r="K69" s="11">
        <f>'R. Energetiche-Comb. (letture)'!$J69*J$61/1000</f>
        <v>2400.5545209999996</v>
      </c>
      <c r="L69" s="11">
        <v>96192</v>
      </c>
      <c r="M69" s="11">
        <f>'R. Energetiche-Comb. (letture)'!$L69*L$61/1000</f>
        <v>3399.1367040000005</v>
      </c>
      <c r="N69" s="11">
        <v>114396</v>
      </c>
      <c r="O69" s="11">
        <f>'R. Energetiche-Comb. (letture)'!$N69*N$61/1000</f>
        <v>4056.1389720000002</v>
      </c>
      <c r="P69" s="11">
        <v>75356</v>
      </c>
      <c r="Q69" s="146">
        <f>'R. Energetiche-Comb. (letture)'!$P69*P$61/1000</f>
        <v>2681.4679040000001</v>
      </c>
      <c r="R69" s="11"/>
      <c r="S69" s="149">
        <f>Tabella_Metano[[#This Row],[2025 m3]]*$R$61/1000</f>
        <v>0</v>
      </c>
    </row>
    <row r="70" spans="1:19" ht="15.75" customHeight="1" x14ac:dyDescent="0.25">
      <c r="A70" s="2" t="s">
        <v>35</v>
      </c>
      <c r="B70" s="11"/>
      <c r="C70" s="11">
        <f>'R. Energetiche-Comb. (letture)'!$B70*B$61/1000</f>
        <v>0</v>
      </c>
      <c r="D70" s="11">
        <v>83455</v>
      </c>
      <c r="E70" s="11">
        <f>'R. Energetiche-Comb. (letture)'!$D70*D$61/1000</f>
        <v>2942.039115</v>
      </c>
      <c r="F70" s="11">
        <v>103450</v>
      </c>
      <c r="G70" s="11">
        <f>'R. Energetiche-Comb. (letture)'!$F70*F$61/1000</f>
        <v>3652.0953499999996</v>
      </c>
      <c r="H70" s="43">
        <v>81275</v>
      </c>
      <c r="I70" s="11">
        <f>'R. Energetiche-Comb. (letture)'!$H70*H$61/1000</f>
        <v>2867.4632750000001</v>
      </c>
      <c r="J70" s="11">
        <v>76345</v>
      </c>
      <c r="K70" s="11">
        <f>'R. Energetiche-Comb. (letture)'!$J70*J$61/1000</f>
        <v>2693.5279449999998</v>
      </c>
      <c r="L70" s="11">
        <v>61548</v>
      </c>
      <c r="M70" s="11">
        <f>'R. Energetiche-Comb. (letture)'!$L70*L$61/1000</f>
        <v>2174.9216759999999</v>
      </c>
      <c r="N70" s="11">
        <v>66309</v>
      </c>
      <c r="O70" s="11">
        <f>'R. Energetiche-Comb. (letture)'!$N70*N$61/1000</f>
        <v>2351.1182130000002</v>
      </c>
      <c r="P70" s="11">
        <v>58661</v>
      </c>
      <c r="Q70" s="146">
        <f>'R. Energetiche-Comb. (letture)'!$P70*P$61/1000</f>
        <v>2087.3930240000004</v>
      </c>
      <c r="R70" s="11"/>
      <c r="S70" s="149">
        <f>Tabella_Metano[[#This Row],[2025 m3]]*$R$61/1000</f>
        <v>0</v>
      </c>
    </row>
    <row r="71" spans="1:19" ht="15.75" customHeight="1" x14ac:dyDescent="0.25">
      <c r="A71" s="2" t="s">
        <v>36</v>
      </c>
      <c r="B71" s="11"/>
      <c r="C71" s="11">
        <f>'R. Energetiche-Comb. (letture)'!$B71*B$61/1000</f>
        <v>0</v>
      </c>
      <c r="D71" s="11">
        <v>22117</v>
      </c>
      <c r="E71" s="11">
        <f>'R. Energetiche-Comb. (letture)'!$D71*D$61/1000</f>
        <v>779.69060100000002</v>
      </c>
      <c r="F71" s="11">
        <v>7233</v>
      </c>
      <c r="G71" s="11">
        <f>'R. Energetiche-Comb. (letture)'!$F71*F$61/1000</f>
        <v>255.346599</v>
      </c>
      <c r="H71" s="43">
        <v>3246</v>
      </c>
      <c r="I71" s="11">
        <f>'R. Energetiche-Comb. (letture)'!$H71*H$61/1000</f>
        <v>114.52212599999999</v>
      </c>
      <c r="J71" s="11">
        <v>5276</v>
      </c>
      <c r="K71" s="11">
        <f>'R. Energetiche-Comb. (letture)'!$J71*J$61/1000</f>
        <v>186.14255599999998</v>
      </c>
      <c r="L71" s="11">
        <v>42321</v>
      </c>
      <c r="M71" s="11">
        <f>'R. Energetiche-Comb. (letture)'!$L71*L$61/1000</f>
        <v>1495.4971770000002</v>
      </c>
      <c r="N71" s="11">
        <v>12807</v>
      </c>
      <c r="O71" s="11">
        <f>'R. Energetiche-Comb. (letture)'!$N71*N$61/1000</f>
        <v>454.09779900000001</v>
      </c>
      <c r="P71" s="11">
        <v>341</v>
      </c>
      <c r="Q71" s="146">
        <f>'R. Energetiche-Comb. (letture)'!$P71*P$61/1000</f>
        <v>12.134144000000001</v>
      </c>
      <c r="R71" s="11"/>
      <c r="S71" s="149">
        <f>Tabella_Metano[[#This Row],[2025 m3]]*$R$61/1000</f>
        <v>0</v>
      </c>
    </row>
    <row r="72" spans="1:19" ht="15.75" customHeight="1" x14ac:dyDescent="0.25">
      <c r="A72" s="2" t="s">
        <v>37</v>
      </c>
      <c r="B72" s="11"/>
      <c r="C72" s="11">
        <f>'R. Energetiche-Comb. (letture)'!$B72*B$61/1000</f>
        <v>0</v>
      </c>
      <c r="D72" s="11">
        <v>94415</v>
      </c>
      <c r="E72" s="11">
        <f>'R. Energetiche-Comb. (letture)'!$D72*D$61/1000</f>
        <v>3328.4119949999999</v>
      </c>
      <c r="F72" s="11">
        <v>97834</v>
      </c>
      <c r="G72" s="11">
        <f>'R. Energetiche-Comb. (letture)'!$F72*F$61/1000</f>
        <v>3453.8337019999994</v>
      </c>
      <c r="H72" s="43">
        <v>92757</v>
      </c>
      <c r="I72" s="11">
        <f>'R. Energetiche-Comb. (letture)'!$H72*H$61/1000</f>
        <v>3272.5597169999996</v>
      </c>
      <c r="J72" s="11">
        <v>88857</v>
      </c>
      <c r="K72" s="11">
        <f>'R. Energetiche-Comb. (letture)'!$J72*J$61/1000</f>
        <v>3134.9638169999998</v>
      </c>
      <c r="L72" s="11">
        <v>105436</v>
      </c>
      <c r="M72" s="11">
        <f>'R. Energetiche-Comb. (letture)'!$L72*L$61/1000</f>
        <v>3725.7919320000005</v>
      </c>
      <c r="N72" s="11">
        <v>77729</v>
      </c>
      <c r="O72" s="11">
        <f>'R. Energetiche-Comb. (letture)'!$N72*N$61/1000</f>
        <v>2756.0371529999998</v>
      </c>
      <c r="P72" s="11">
        <v>80256</v>
      </c>
      <c r="Q72" s="146">
        <f>'R. Energetiche-Comb. (letture)'!$P72*P$61/1000</f>
        <v>2855.8295040000003</v>
      </c>
      <c r="R72" s="11"/>
      <c r="S72" s="149">
        <f>Tabella_Metano[[#This Row],[2025 m3]]*$R$61/1000</f>
        <v>0</v>
      </c>
    </row>
    <row r="73" spans="1:19" ht="15.75" customHeight="1" x14ac:dyDescent="0.25">
      <c r="A73" s="2" t="s">
        <v>38</v>
      </c>
      <c r="B73" s="11"/>
      <c r="C73" s="11">
        <f>'R. Energetiche-Comb. (letture)'!$B73*B$61/1000</f>
        <v>0</v>
      </c>
      <c r="D73" s="11">
        <v>107915</v>
      </c>
      <c r="E73" s="11">
        <f>'R. Energetiche-Comb. (letture)'!$D73*D$61/1000</f>
        <v>3804.327495</v>
      </c>
      <c r="F73" s="11">
        <v>107259</v>
      </c>
      <c r="G73" s="11">
        <f>'R. Energetiche-Comb. (letture)'!$F73*F$61/1000</f>
        <v>3786.5644769999994</v>
      </c>
      <c r="H73" s="43">
        <v>89070</v>
      </c>
      <c r="I73" s="11">
        <f>'R. Energetiche-Comb. (letture)'!$H73*H$61/1000</f>
        <v>3142.47867</v>
      </c>
      <c r="J73" s="11">
        <v>107910</v>
      </c>
      <c r="K73" s="11">
        <f>'R. Energetiche-Comb. (letture)'!$J73*J$61/1000</f>
        <v>3807.1727099999998</v>
      </c>
      <c r="L73" s="11">
        <v>84050</v>
      </c>
      <c r="M73" s="11">
        <f>'R. Energetiche-Comb. (letture)'!$L73*L$61/1000</f>
        <v>2970.07485</v>
      </c>
      <c r="N73" s="11">
        <v>81577</v>
      </c>
      <c r="O73" s="11">
        <f>'R. Energetiche-Comb. (letture)'!$N73*N$61/1000</f>
        <v>2892.4756890000003</v>
      </c>
      <c r="P73" s="11">
        <v>76111</v>
      </c>
      <c r="Q73" s="146">
        <f>'R. Energetiche-Comb. (letture)'!$P73*P$61/1000</f>
        <v>2708.3338239999998</v>
      </c>
      <c r="R73" s="11"/>
      <c r="S73" s="149">
        <f>Tabella_Metano[[#This Row],[2025 m3]]*$R$61/1000</f>
        <v>0</v>
      </c>
    </row>
    <row r="74" spans="1:19" ht="15.75" customHeight="1" x14ac:dyDescent="0.25">
      <c r="A74" s="2" t="s">
        <v>39</v>
      </c>
      <c r="B74" s="11"/>
      <c r="C74" s="11">
        <f>'R. Energetiche-Comb. (letture)'!$B74*B$61/1000</f>
        <v>0</v>
      </c>
      <c r="D74" s="11">
        <v>96947</v>
      </c>
      <c r="E74" s="11">
        <f>'R. Energetiche-Comb. (letture)'!$D74*D$61/1000</f>
        <v>3417.672591</v>
      </c>
      <c r="F74" s="11">
        <v>92327</v>
      </c>
      <c r="G74" s="11">
        <f>'R. Energetiche-Comb. (letture)'!$F74*F$61/1000</f>
        <v>3259.4200809999998</v>
      </c>
      <c r="H74" s="43">
        <v>52042</v>
      </c>
      <c r="I74" s="11">
        <f>'R. Energetiche-Comb. (letture)'!$H74*H$61/1000</f>
        <v>1836.0938019999999</v>
      </c>
      <c r="J74" s="11">
        <v>113356</v>
      </c>
      <c r="K74" s="11">
        <f>'R. Energetiche-Comb. (letture)'!$J74*J$61/1000</f>
        <v>3999.313036</v>
      </c>
      <c r="L74" s="11">
        <v>105490</v>
      </c>
      <c r="M74" s="11">
        <f>'R. Energetiche-Comb. (letture)'!$L74*L$61/1000</f>
        <v>3727.7001300000002</v>
      </c>
      <c r="N74" s="11">
        <v>53011</v>
      </c>
      <c r="O74" s="11">
        <f>'R. Energetiche-Comb. (letture)'!$N74*N$61/1000</f>
        <v>1879.6110269999999</v>
      </c>
      <c r="P74" s="11">
        <v>77176</v>
      </c>
      <c r="Q74" s="146">
        <f>'R. Energetiche-Comb. (letture)'!$P74*P$61/1000</f>
        <v>2746.2307840000003</v>
      </c>
      <c r="R74" s="11"/>
      <c r="S74" s="149">
        <f>Tabella_Metano[[#This Row],[2025 m3]]*$R$61/1000</f>
        <v>0</v>
      </c>
    </row>
    <row r="75" spans="1:19" ht="15.75" customHeight="1" x14ac:dyDescent="0.25">
      <c r="A75" s="2" t="s">
        <v>40</v>
      </c>
      <c r="B75" s="11">
        <v>38552</v>
      </c>
      <c r="C75" s="11">
        <f>'R. Energetiche-Comb. (letture)'!$B75*B$61/1000</f>
        <v>1354.4859680000002</v>
      </c>
      <c r="D75" s="11">
        <v>81743</v>
      </c>
      <c r="E75" s="11">
        <f>'R. Energetiche-Comb. (letture)'!$D75*D$61/1000</f>
        <v>2881.6859789999999</v>
      </c>
      <c r="F75" s="11">
        <v>71225</v>
      </c>
      <c r="G75" s="11">
        <f>'R. Energetiche-Comb. (letture)'!$F75*F$61/1000</f>
        <v>2514.4561749999998</v>
      </c>
      <c r="H75" s="43">
        <v>50636</v>
      </c>
      <c r="I75" s="11">
        <f>'R. Energetiche-Comb. (letture)'!$H75*H$61/1000</f>
        <v>1786.4887160000001</v>
      </c>
      <c r="J75" s="11">
        <v>106338</v>
      </c>
      <c r="K75" s="11">
        <f>'R. Energetiche-Comb. (letture)'!$J75*J$61/1000</f>
        <v>3751.7109779999996</v>
      </c>
      <c r="L75" s="11">
        <v>71970</v>
      </c>
      <c r="M75" s="11">
        <f>'R. Energetiche-Comb. (letture)'!$L75*L$61/1000</f>
        <v>2543.2038900000002</v>
      </c>
      <c r="N75" s="11">
        <v>46281</v>
      </c>
      <c r="O75" s="11">
        <f>'R. Energetiche-Comb. (letture)'!$N75*N$61/1000</f>
        <v>1640.9854170000001</v>
      </c>
      <c r="P75" s="11">
        <v>55554</v>
      </c>
      <c r="Q75" s="146">
        <f>'R. Energetiche-Comb. (letture)'!$P75*P$61/1000</f>
        <v>1976.8335360000001</v>
      </c>
      <c r="R75" s="11"/>
      <c r="S75" s="149">
        <f>Tabella_Metano[[#This Row],[2025 m3]]*$R$61/1000</f>
        <v>0</v>
      </c>
    </row>
    <row r="76" spans="1:19" ht="15.75" customHeight="1" x14ac:dyDescent="0.25">
      <c r="A76" s="12" t="s">
        <v>41</v>
      </c>
      <c r="B76" s="13">
        <f t="shared" ref="B76:Q76" si="9">SUM(B64:B75)</f>
        <v>38552</v>
      </c>
      <c r="C76" s="13">
        <f t="shared" si="9"/>
        <v>1354.4859680000002</v>
      </c>
      <c r="D76" s="13">
        <f t="shared" si="9"/>
        <v>1000053</v>
      </c>
      <c r="E76" s="13">
        <f t="shared" si="9"/>
        <v>35254.868408999995</v>
      </c>
      <c r="F76" s="13">
        <f t="shared" si="9"/>
        <v>1124795</v>
      </c>
      <c r="G76" s="13">
        <f t="shared" si="9"/>
        <v>39708.637884999989</v>
      </c>
      <c r="H76" s="13">
        <f t="shared" si="9"/>
        <v>776232</v>
      </c>
      <c r="I76" s="13">
        <f t="shared" si="9"/>
        <v>27386.241192000001</v>
      </c>
      <c r="J76" s="13">
        <f t="shared" si="9"/>
        <v>989717</v>
      </c>
      <c r="K76" s="13">
        <f t="shared" si="9"/>
        <v>34918.205476999996</v>
      </c>
      <c r="L76" s="13">
        <f t="shared" si="9"/>
        <v>1106605</v>
      </c>
      <c r="M76" s="13">
        <f t="shared" si="9"/>
        <v>39104.100885</v>
      </c>
      <c r="N76" s="13">
        <f t="shared" si="9"/>
        <v>897844</v>
      </c>
      <c r="O76" s="13">
        <f t="shared" si="9"/>
        <v>31834.854708000003</v>
      </c>
      <c r="P76" s="13">
        <f t="shared" si="9"/>
        <v>824184</v>
      </c>
      <c r="Q76" s="147">
        <f t="shared" si="9"/>
        <v>29327.763456000001</v>
      </c>
      <c r="R76" s="13">
        <f t="shared" ref="R76:S76" si="10">SUM(R64:R75)</f>
        <v>0</v>
      </c>
      <c r="S76" s="147">
        <f t="shared" si="10"/>
        <v>0</v>
      </c>
    </row>
    <row r="77" spans="1:19" ht="15.75" customHeight="1" x14ac:dyDescent="0.25">
      <c r="A77" s="12" t="s">
        <v>190</v>
      </c>
      <c r="B77" s="13"/>
      <c r="C77" s="13">
        <f>C76/3.6</f>
        <v>376.24610222222225</v>
      </c>
      <c r="D77" s="13"/>
      <c r="E77" s="13">
        <f>E76/3.6</f>
        <v>9793.0190024999993</v>
      </c>
      <c r="F77" s="13"/>
      <c r="G77" s="13">
        <f>G76/3.6</f>
        <v>11030.177190277775</v>
      </c>
      <c r="H77" s="13"/>
      <c r="I77" s="13">
        <f>I76/3.6</f>
        <v>7607.2892200000006</v>
      </c>
      <c r="J77" s="13"/>
      <c r="K77" s="13">
        <f>K76/3.6</f>
        <v>9699.5015213888873</v>
      </c>
      <c r="L77" s="13"/>
      <c r="M77" s="13">
        <f>M76/3.6</f>
        <v>10862.250245833333</v>
      </c>
      <c r="N77" s="13"/>
      <c r="O77" s="13">
        <f>O76/3.6</f>
        <v>8843.0151966666672</v>
      </c>
      <c r="P77" s="13"/>
      <c r="Q77" s="147">
        <f>Q76/3.6</f>
        <v>8146.6009599999998</v>
      </c>
      <c r="R77" s="13"/>
      <c r="S77" s="147">
        <f>S76/3.6</f>
        <v>0</v>
      </c>
    </row>
  </sheetData>
  <mergeCells count="36">
    <mergeCell ref="P61:Q61"/>
    <mergeCell ref="B60:C60"/>
    <mergeCell ref="B61:C61"/>
    <mergeCell ref="D61:E61"/>
    <mergeCell ref="F61:G61"/>
    <mergeCell ref="H61:I61"/>
    <mergeCell ref="J61:K61"/>
    <mergeCell ref="L61:M61"/>
    <mergeCell ref="D39:E39"/>
    <mergeCell ref="F39:G39"/>
    <mergeCell ref="H39:I39"/>
    <mergeCell ref="J39:K39"/>
    <mergeCell ref="N61:O61"/>
    <mergeCell ref="B36:Q36"/>
    <mergeCell ref="B38:C38"/>
    <mergeCell ref="D38:E38"/>
    <mergeCell ref="F38:G38"/>
    <mergeCell ref="H38:I38"/>
    <mergeCell ref="J38:K38"/>
    <mergeCell ref="L38:M38"/>
    <mergeCell ref="R60:S60"/>
    <mergeCell ref="R61:S61"/>
    <mergeCell ref="B58:S58"/>
    <mergeCell ref="N38:O38"/>
    <mergeCell ref="P38:Q38"/>
    <mergeCell ref="L39:M39"/>
    <mergeCell ref="N39:O39"/>
    <mergeCell ref="L60:M60"/>
    <mergeCell ref="N60:O60"/>
    <mergeCell ref="P39:Q39"/>
    <mergeCell ref="D60:E60"/>
    <mergeCell ref="F60:G60"/>
    <mergeCell ref="H60:I60"/>
    <mergeCell ref="J60:K60"/>
    <mergeCell ref="P60:Q60"/>
    <mergeCell ref="B39:C39"/>
  </mergeCells>
  <pageMargins left="0.7" right="0.7" top="0.75" bottom="0.75" header="0" footer="0"/>
  <pageSetup orientation="landscape"/>
  <tableParts count="4">
    <tablePart r:id="rId1"/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CC2E5"/>
  </sheetPr>
  <dimension ref="A1:G68"/>
  <sheetViews>
    <sheetView showGridLines="0" workbookViewId="0">
      <pane ySplit="1" topLeftCell="A20" activePane="bottomLeft" state="frozen"/>
      <selection pane="bottomLeft" activeCell="H19" sqref="H19"/>
    </sheetView>
  </sheetViews>
  <sheetFormatPr defaultColWidth="14.42578125" defaultRowHeight="15" customHeight="1" x14ac:dyDescent="0.25"/>
  <cols>
    <col min="1" max="7" width="12.7109375" customWidth="1"/>
    <col min="8" max="27" width="8.7109375" customWidth="1"/>
  </cols>
  <sheetData>
    <row r="1" spans="1:7" x14ac:dyDescent="0.25">
      <c r="A1" s="1" t="s">
        <v>147</v>
      </c>
      <c r="B1" s="2"/>
      <c r="C1" s="2"/>
      <c r="D1" s="2"/>
      <c r="E1" s="2"/>
    </row>
    <row r="2" spans="1:7" x14ac:dyDescent="0.25">
      <c r="A2" s="1"/>
      <c r="B2" s="2"/>
      <c r="C2" s="2"/>
      <c r="D2" s="2"/>
      <c r="E2" s="2"/>
    </row>
    <row r="3" spans="1:7" x14ac:dyDescent="0.25">
      <c r="A3" s="1" t="s">
        <v>207</v>
      </c>
      <c r="B3" s="2"/>
      <c r="C3" s="2"/>
      <c r="D3" s="2"/>
      <c r="E3" s="2"/>
    </row>
    <row r="4" spans="1:7" x14ac:dyDescent="0.25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  <c r="F4" s="2"/>
      <c r="G4" s="2"/>
    </row>
    <row r="5" spans="1:7" x14ac:dyDescent="0.25">
      <c r="A5" s="2" t="s">
        <v>28</v>
      </c>
      <c r="B5" s="2" t="s">
        <v>190</v>
      </c>
      <c r="C5" s="11">
        <f>'R. Energetiche-Comb. (letture)'!O3/1000</f>
        <v>398.11900000000003</v>
      </c>
      <c r="D5" s="11">
        <f>'R. Energetiche-Comb. (letture)'!P3/1000</f>
        <v>316.32299999999998</v>
      </c>
      <c r="E5" s="11">
        <f>'R. Energetiche-Comb. (letture)'!Q3/1000</f>
        <v>0</v>
      </c>
    </row>
    <row r="6" spans="1:7" x14ac:dyDescent="0.25">
      <c r="A6" s="2" t="s">
        <v>30</v>
      </c>
      <c r="B6" s="2" t="s">
        <v>190</v>
      </c>
      <c r="C6" s="11">
        <f>'R. Energetiche-Comb. (letture)'!O4/1000</f>
        <v>456.10899999999998</v>
      </c>
      <c r="D6" s="11">
        <f>'R. Energetiche-Comb. (letture)'!P4/1000</f>
        <v>341.77499999999998</v>
      </c>
      <c r="E6" s="11">
        <f>'R. Energetiche-Comb. (letture)'!Q4/1000</f>
        <v>0</v>
      </c>
    </row>
    <row r="7" spans="1:7" x14ac:dyDescent="0.25">
      <c r="A7" s="2" t="s">
        <v>31</v>
      </c>
      <c r="B7" s="2" t="s">
        <v>190</v>
      </c>
      <c r="C7" s="11">
        <f>'R. Energetiche-Comb. (letture)'!O5/1000</f>
        <v>468.83499999999998</v>
      </c>
      <c r="D7" s="11">
        <f>'R. Energetiche-Comb. (letture)'!P5/1000</f>
        <v>334.12799999999999</v>
      </c>
      <c r="E7" s="11">
        <f>'R. Energetiche-Comb. (letture)'!Q5/1000</f>
        <v>0</v>
      </c>
      <c r="F7" s="17"/>
      <c r="G7" s="45"/>
    </row>
    <row r="8" spans="1:7" x14ac:dyDescent="0.25">
      <c r="A8" s="2" t="s">
        <v>32</v>
      </c>
      <c r="B8" s="2" t="s">
        <v>190</v>
      </c>
      <c r="C8" s="11">
        <f>'R. Energetiche-Comb. (letture)'!O6/1000</f>
        <v>302.20400000000001</v>
      </c>
      <c r="D8" s="11">
        <f>'R. Energetiche-Comb. (letture)'!P6/1000</f>
        <v>267.435</v>
      </c>
      <c r="E8" s="11">
        <f>'R. Energetiche-Comb. (letture)'!Q6/1000</f>
        <v>0</v>
      </c>
    </row>
    <row r="9" spans="1:7" x14ac:dyDescent="0.25">
      <c r="A9" s="2" t="s">
        <v>33</v>
      </c>
      <c r="B9" s="2" t="s">
        <v>190</v>
      </c>
      <c r="C9" s="11">
        <f>'R. Energetiche-Comb. (letture)'!O7/1000</f>
        <v>450.90899999999999</v>
      </c>
      <c r="D9" s="11">
        <f>'R. Energetiche-Comb. (letture)'!P7/1000</f>
        <v>348.02699999999999</v>
      </c>
      <c r="E9" s="11">
        <f>'R. Energetiche-Comb. (letture)'!Q7/1000</f>
        <v>0</v>
      </c>
    </row>
    <row r="10" spans="1:7" x14ac:dyDescent="0.25">
      <c r="A10" s="2" t="s">
        <v>34</v>
      </c>
      <c r="B10" s="2" t="s">
        <v>190</v>
      </c>
      <c r="C10" s="11">
        <f>'R. Energetiche-Comb. (letture)'!O8/1000</f>
        <v>364.78500000000003</v>
      </c>
      <c r="D10" s="11">
        <f>'R. Energetiche-Comb. (letture)'!P8/1000</f>
        <v>324.31599999999997</v>
      </c>
      <c r="E10" s="11">
        <f>'R. Energetiche-Comb. (letture)'!Q8/1000</f>
        <v>0</v>
      </c>
      <c r="F10" s="17"/>
      <c r="G10" s="45"/>
    </row>
    <row r="11" spans="1:7" x14ac:dyDescent="0.25">
      <c r="A11" s="2" t="s">
        <v>35</v>
      </c>
      <c r="B11" s="2" t="s">
        <v>190</v>
      </c>
      <c r="C11" s="11">
        <f>'R. Energetiche-Comb. (letture)'!O9/1000</f>
        <v>255.20099999999999</v>
      </c>
      <c r="D11" s="11">
        <f>'R. Energetiche-Comb. (letture)'!P9/1000</f>
        <v>290.70499999999998</v>
      </c>
      <c r="E11" s="11">
        <f>'R. Energetiche-Comb. (letture)'!Q9/1000</f>
        <v>0</v>
      </c>
    </row>
    <row r="12" spans="1:7" x14ac:dyDescent="0.25">
      <c r="A12" s="2" t="s">
        <v>36</v>
      </c>
      <c r="B12" s="2" t="s">
        <v>190</v>
      </c>
      <c r="C12" s="11">
        <f>'R. Energetiche-Comb. (letture)'!O10/1000</f>
        <v>72.325999999999993</v>
      </c>
      <c r="D12" s="11">
        <f>'R. Energetiche-Comb. (letture)'!P10/1000</f>
        <v>12.9</v>
      </c>
      <c r="E12" s="11">
        <f>'R. Energetiche-Comb. (letture)'!Q10/1000</f>
        <v>0</v>
      </c>
    </row>
    <row r="13" spans="1:7" x14ac:dyDescent="0.25">
      <c r="A13" s="2" t="s">
        <v>37</v>
      </c>
      <c r="B13" s="2" t="s">
        <v>190</v>
      </c>
      <c r="C13" s="11">
        <f>'R. Energetiche-Comb. (letture)'!O11/1000</f>
        <v>371.32900000000001</v>
      </c>
      <c r="D13" s="11">
        <f>'R. Energetiche-Comb. (letture)'!P11/1000</f>
        <v>370.88799999999998</v>
      </c>
      <c r="E13" s="11">
        <f>'R. Energetiche-Comb. (letture)'!Q11/1000</f>
        <v>0</v>
      </c>
      <c r="F13" s="17"/>
      <c r="G13" s="45"/>
    </row>
    <row r="14" spans="1:7" x14ac:dyDescent="0.25">
      <c r="A14" s="2" t="s">
        <v>38</v>
      </c>
      <c r="B14" s="2" t="s">
        <v>190</v>
      </c>
      <c r="C14" s="11">
        <f>'R. Energetiche-Comb. (letture)'!O12/1000</f>
        <v>377.69</v>
      </c>
      <c r="D14" s="11">
        <f>'R. Energetiche-Comb. (letture)'!P12/1000</f>
        <v>377.11200000000002</v>
      </c>
      <c r="E14" s="11">
        <f>'R. Energetiche-Comb. (letture)'!Q12/1000</f>
        <v>0</v>
      </c>
    </row>
    <row r="15" spans="1:7" x14ac:dyDescent="0.25">
      <c r="A15" s="2" t="s">
        <v>39</v>
      </c>
      <c r="B15" s="2" t="s">
        <v>190</v>
      </c>
      <c r="C15" s="11">
        <f>'R. Energetiche-Comb. (letture)'!O13/1000</f>
        <v>226.251</v>
      </c>
      <c r="D15" s="11">
        <f>'R. Energetiche-Comb. (letture)'!P13/1000</f>
        <v>308.80700000000002</v>
      </c>
      <c r="E15" s="11">
        <f>'R. Energetiche-Comb. (letture)'!Q13/1000</f>
        <v>0</v>
      </c>
    </row>
    <row r="16" spans="1:7" x14ac:dyDescent="0.25">
      <c r="A16" s="2" t="s">
        <v>40</v>
      </c>
      <c r="B16" s="2" t="s">
        <v>190</v>
      </c>
      <c r="C16" s="11">
        <f>'R. Energetiche-Comb. (letture)'!O14/1000</f>
        <v>188.50200000000001</v>
      </c>
      <c r="D16" s="11">
        <f>'R. Energetiche-Comb. (letture)'!P14/1000</f>
        <v>208.77699999999999</v>
      </c>
      <c r="E16" s="11">
        <f>'R. Energetiche-Comb. (letture)'!Q14/1000</f>
        <v>0</v>
      </c>
    </row>
    <row r="17" spans="1:7" x14ac:dyDescent="0.25">
      <c r="A17" s="12" t="s">
        <v>41</v>
      </c>
      <c r="B17" s="2" t="s">
        <v>190</v>
      </c>
      <c r="C17" s="13">
        <f t="shared" ref="C17:E17" si="0">SUBTOTAL(109,C5:C16)</f>
        <v>3932.26</v>
      </c>
      <c r="D17" s="13">
        <f t="shared" si="0"/>
        <v>3501.1930000000002</v>
      </c>
      <c r="E17" s="13">
        <f t="shared" si="0"/>
        <v>0</v>
      </c>
    </row>
    <row r="18" spans="1:7" x14ac:dyDescent="0.25">
      <c r="A18" s="14"/>
      <c r="B18" s="15"/>
      <c r="C18" s="16"/>
      <c r="D18" s="16"/>
      <c r="E18" s="16"/>
    </row>
    <row r="20" spans="1:7" x14ac:dyDescent="0.25">
      <c r="A20" s="1" t="s">
        <v>208</v>
      </c>
      <c r="B20" s="2"/>
      <c r="C20" s="2"/>
      <c r="D20" s="2"/>
      <c r="E20" s="2"/>
    </row>
    <row r="21" spans="1:7" ht="15.75" customHeight="1" x14ac:dyDescent="0.25">
      <c r="A21" s="2" t="s">
        <v>23</v>
      </c>
      <c r="B21" s="2" t="s">
        <v>24</v>
      </c>
      <c r="C21" s="2" t="s">
        <v>25</v>
      </c>
      <c r="D21" s="2" t="s">
        <v>26</v>
      </c>
      <c r="E21" s="2" t="s">
        <v>27</v>
      </c>
      <c r="F21" s="2"/>
      <c r="G21" s="2"/>
    </row>
    <row r="22" spans="1:7" ht="15.75" customHeight="1" x14ac:dyDescent="0.25">
      <c r="A22" s="2" t="s">
        <v>28</v>
      </c>
      <c r="B22" s="2" t="s">
        <v>190</v>
      </c>
      <c r="C22" s="11">
        <f>'R. Energetiche-Comb. (letture)'!O20/1000</f>
        <v>19.349499999999978</v>
      </c>
      <c r="D22" s="11">
        <f>'R. Energetiche-Comb. (letture)'!P20/1000</f>
        <v>18.75</v>
      </c>
      <c r="E22" s="11">
        <f>'R. Energetiche-Comb. (letture)'!Q20/1000</f>
        <v>0</v>
      </c>
    </row>
    <row r="23" spans="1:7" ht="15.75" customHeight="1" x14ac:dyDescent="0.25">
      <c r="A23" s="2" t="s">
        <v>30</v>
      </c>
      <c r="B23" s="2" t="s">
        <v>190</v>
      </c>
      <c r="C23" s="11">
        <f>'R. Energetiche-Comb. (letture)'!O21/1000</f>
        <v>32.561499999999988</v>
      </c>
      <c r="D23" s="11">
        <f>'R. Energetiche-Comb. (letture)'!P21/1000</f>
        <v>20.623999999999999</v>
      </c>
      <c r="E23" s="11">
        <f>'R. Energetiche-Comb. (letture)'!Q21/1000</f>
        <v>0</v>
      </c>
    </row>
    <row r="24" spans="1:7" ht="15.75" customHeight="1" x14ac:dyDescent="0.25">
      <c r="A24" s="2" t="s">
        <v>31</v>
      </c>
      <c r="B24" s="2" t="s">
        <v>190</v>
      </c>
      <c r="C24" s="11">
        <f>'R. Energetiche-Comb. (letture)'!O22/1000</f>
        <v>42.961500000000015</v>
      </c>
      <c r="D24" s="11">
        <f>'R. Energetiche-Comb. (letture)'!P22/1000</f>
        <v>27.164000000000001</v>
      </c>
      <c r="E24" s="11">
        <f>'R. Energetiche-Comb. (letture)'!Q22/1000</f>
        <v>0</v>
      </c>
      <c r="F24" s="17"/>
      <c r="G24" s="45"/>
    </row>
    <row r="25" spans="1:7" ht="15.75" customHeight="1" x14ac:dyDescent="0.25">
      <c r="A25" s="2" t="s">
        <v>32</v>
      </c>
      <c r="B25" s="2" t="s">
        <v>190</v>
      </c>
      <c r="C25" s="11">
        <f>'R. Energetiche-Comb. (letture)'!O23/1000</f>
        <v>43.307500000000061</v>
      </c>
      <c r="D25" s="11">
        <f>'R. Energetiche-Comb. (letture)'!P23/1000</f>
        <v>40.442</v>
      </c>
      <c r="E25" s="11">
        <f>'R. Energetiche-Comb. (letture)'!Q23/1000</f>
        <v>0</v>
      </c>
    </row>
    <row r="26" spans="1:7" ht="15.75" customHeight="1" x14ac:dyDescent="0.25">
      <c r="A26" s="2" t="s">
        <v>33</v>
      </c>
      <c r="B26" s="2" t="s">
        <v>190</v>
      </c>
      <c r="C26" s="11">
        <f>'R. Energetiche-Comb. (letture)'!O24/1000</f>
        <v>49.46600000000003</v>
      </c>
      <c r="D26" s="11">
        <f>'R. Energetiche-Comb. (letture)'!P24/1000</f>
        <v>45.548000000000002</v>
      </c>
      <c r="E26" s="11">
        <f>'R. Energetiche-Comb. (letture)'!Q24/1000</f>
        <v>0</v>
      </c>
    </row>
    <row r="27" spans="1:7" ht="15.75" customHeight="1" x14ac:dyDescent="0.25">
      <c r="A27" s="2" t="s">
        <v>34</v>
      </c>
      <c r="B27" s="2" t="s">
        <v>190</v>
      </c>
      <c r="C27" s="11">
        <f>'R. Energetiche-Comb. (letture)'!O25/1000</f>
        <v>56.03599999999993</v>
      </c>
      <c r="D27" s="11">
        <f>'R. Energetiche-Comb. (letture)'!P25/1000</f>
        <v>33.677999999999997</v>
      </c>
      <c r="E27" s="11">
        <f>'R. Energetiche-Comb. (letture)'!Q25/1000</f>
        <v>0</v>
      </c>
      <c r="F27" s="17"/>
      <c r="G27" s="45"/>
    </row>
    <row r="28" spans="1:7" ht="15.75" customHeight="1" x14ac:dyDescent="0.25">
      <c r="A28" s="2" t="s">
        <v>35</v>
      </c>
      <c r="B28" s="2" t="s">
        <v>190</v>
      </c>
      <c r="C28" s="11">
        <f>'R. Energetiche-Comb. (letture)'!O26/1000</f>
        <v>53.998500000000043</v>
      </c>
      <c r="D28" s="11">
        <f>'R. Energetiche-Comb. (letture)'!P26/1000</f>
        <v>56.911999999999999</v>
      </c>
      <c r="E28" s="11">
        <f>'R. Energetiche-Comb. (letture)'!Q26/1000</f>
        <v>0</v>
      </c>
    </row>
    <row r="29" spans="1:7" ht="15.75" customHeight="1" x14ac:dyDescent="0.25">
      <c r="A29" s="2" t="s">
        <v>36</v>
      </c>
      <c r="B29" s="2" t="s">
        <v>190</v>
      </c>
      <c r="C29" s="11">
        <f>'R. Energetiche-Comb. (letture)'!O27/1000</f>
        <v>26.062999999999942</v>
      </c>
      <c r="D29" s="11">
        <f>'R. Energetiche-Comb. (letture)'!P27/1000</f>
        <v>7.54</v>
      </c>
      <c r="E29" s="11">
        <f>'R. Energetiche-Comb. (letture)'!Q27/1000</f>
        <v>0</v>
      </c>
    </row>
    <row r="30" spans="1:7" ht="15.75" customHeight="1" x14ac:dyDescent="0.25">
      <c r="A30" s="2" t="s">
        <v>37</v>
      </c>
      <c r="B30" s="2" t="s">
        <v>190</v>
      </c>
      <c r="C30" s="11">
        <f>'R. Energetiche-Comb. (letture)'!O28/1000</f>
        <v>41.719500000000018</v>
      </c>
      <c r="D30" s="11">
        <f>'R. Energetiche-Comb. (letture)'!P28/1000</f>
        <v>34.695999999999998</v>
      </c>
      <c r="E30" s="11">
        <f>'R. Energetiche-Comb. (letture)'!Q28/1000</f>
        <v>0</v>
      </c>
      <c r="F30" s="17"/>
      <c r="G30" s="45"/>
    </row>
    <row r="31" spans="1:7" ht="15.75" customHeight="1" x14ac:dyDescent="0.25">
      <c r="A31" s="2" t="s">
        <v>38</v>
      </c>
      <c r="B31" s="2" t="s">
        <v>190</v>
      </c>
      <c r="C31" s="11">
        <f>'R. Energetiche-Comb. (letture)'!O29/1000</f>
        <v>51.396500000000074</v>
      </c>
      <c r="D31" s="11">
        <f>'R. Energetiche-Comb. (letture)'!P29/1000</f>
        <v>24.8</v>
      </c>
      <c r="E31" s="11">
        <f>'R. Energetiche-Comb. (letture)'!Q29/1000</f>
        <v>0</v>
      </c>
    </row>
    <row r="32" spans="1:7" ht="15.75" customHeight="1" x14ac:dyDescent="0.25">
      <c r="A32" s="2" t="s">
        <v>39</v>
      </c>
      <c r="B32" s="2" t="s">
        <v>190</v>
      </c>
      <c r="C32" s="11">
        <f>'R. Energetiche-Comb. (letture)'!O30/1000</f>
        <v>19.468999999999909</v>
      </c>
      <c r="D32" s="11">
        <f>'R. Energetiche-Comb. (letture)'!P30/1000</f>
        <v>21.55</v>
      </c>
      <c r="E32" s="11">
        <f>'R. Energetiche-Comb. (letture)'!Q30/1000</f>
        <v>0</v>
      </c>
    </row>
    <row r="33" spans="1:7" ht="15.75" customHeight="1" x14ac:dyDescent="0.25">
      <c r="A33" s="2" t="s">
        <v>40</v>
      </c>
      <c r="B33" s="2" t="s">
        <v>190</v>
      </c>
      <c r="C33" s="11">
        <f>'R. Energetiche-Comb. (letture)'!O31/1000</f>
        <v>13.224</v>
      </c>
      <c r="D33" s="11">
        <f>'R. Energetiche-Comb. (letture)'!P31/1000</f>
        <v>16.574000000000002</v>
      </c>
      <c r="E33" s="11">
        <f>'R. Energetiche-Comb. (letture)'!Q31/1000</f>
        <v>0</v>
      </c>
    </row>
    <row r="34" spans="1:7" ht="15.75" customHeight="1" x14ac:dyDescent="0.25">
      <c r="A34" s="12" t="s">
        <v>41</v>
      </c>
      <c r="B34" s="2" t="s">
        <v>190</v>
      </c>
      <c r="C34" s="13">
        <f t="shared" ref="C34:D34" si="1">SUBTOTAL(109,C22:C33)</f>
        <v>449.55249999999995</v>
      </c>
      <c r="D34" s="13">
        <f t="shared" si="1"/>
        <v>348.27800000000002</v>
      </c>
      <c r="E34" s="13">
        <f t="shared" ref="E34" si="2">SUBTOTAL(109,E22:E33)</f>
        <v>0</v>
      </c>
    </row>
    <row r="35" spans="1:7" ht="15.75" customHeight="1" x14ac:dyDescent="0.25"/>
    <row r="36" spans="1:7" ht="15.75" customHeight="1" x14ac:dyDescent="0.25"/>
    <row r="37" spans="1:7" ht="15.75" customHeight="1" x14ac:dyDescent="0.25">
      <c r="A37" s="1" t="s">
        <v>209</v>
      </c>
      <c r="B37" s="2"/>
      <c r="C37" s="2"/>
      <c r="D37" s="2"/>
      <c r="E37" s="2"/>
    </row>
    <row r="38" spans="1:7" ht="15.75" customHeight="1" x14ac:dyDescent="0.25">
      <c r="A38" s="2" t="s">
        <v>23</v>
      </c>
      <c r="B38" s="2" t="s">
        <v>24</v>
      </c>
      <c r="C38" s="2" t="s">
        <v>25</v>
      </c>
      <c r="D38" s="2" t="s">
        <v>26</v>
      </c>
      <c r="E38" s="2" t="s">
        <v>27</v>
      </c>
      <c r="F38" s="2"/>
      <c r="G38" s="2"/>
    </row>
    <row r="39" spans="1:7" ht="15.75" customHeight="1" x14ac:dyDescent="0.25">
      <c r="A39" s="2" t="s">
        <v>28</v>
      </c>
      <c r="B39" s="2" t="s">
        <v>190</v>
      </c>
      <c r="C39" s="11">
        <f>'R. Energetiche-Comb. (letture)'!O64/3.6</f>
        <v>1027.1203458333332</v>
      </c>
      <c r="D39" s="11">
        <f>'R. Energetiche-Comb. (letture)'!Q64/3.6</f>
        <v>807.10442666666665</v>
      </c>
      <c r="E39" s="11">
        <f>'R. Energetiche-Comb. (letture)'!S64/3.6</f>
        <v>0</v>
      </c>
    </row>
    <row r="40" spans="1:7" ht="15.75" customHeight="1" x14ac:dyDescent="0.25">
      <c r="A40" s="2" t="s">
        <v>30</v>
      </c>
      <c r="B40" s="2" t="s">
        <v>190</v>
      </c>
      <c r="C40" s="11">
        <f>'R. Energetiche-Comb. (letture)'!O65/3.6</f>
        <v>1172.9963533333334</v>
      </c>
      <c r="D40" s="11">
        <f>'R. Energetiche-Comb. (letture)'!Q65/3.6</f>
        <v>856.46734222222233</v>
      </c>
      <c r="E40" s="11">
        <f>'R. Energetiche-Comb. (letture)'!S65/3.6</f>
        <v>0</v>
      </c>
    </row>
    <row r="41" spans="1:7" ht="15.75" customHeight="1" x14ac:dyDescent="0.25">
      <c r="A41" s="2" t="s">
        <v>31</v>
      </c>
      <c r="B41" s="2" t="s">
        <v>190</v>
      </c>
      <c r="C41" s="11">
        <f>'R. Energetiche-Comb. (letture)'!O66/3.6</f>
        <v>1175.2419633333334</v>
      </c>
      <c r="D41" s="11">
        <f>'R. Energetiche-Comb. (letture)'!Q66/3.6</f>
        <v>788.98623999999995</v>
      </c>
      <c r="E41" s="11">
        <f>'R. Energetiche-Comb. (letture)'!S66/3.6</f>
        <v>0</v>
      </c>
      <c r="F41" s="17"/>
      <c r="G41" s="45"/>
    </row>
    <row r="42" spans="1:7" ht="15.75" customHeight="1" x14ac:dyDescent="0.25">
      <c r="A42" s="2" t="s">
        <v>32</v>
      </c>
      <c r="B42" s="2" t="s">
        <v>190</v>
      </c>
      <c r="C42" s="11">
        <f>'R. Energetiche-Comb. (letture)'!O67/3.6</f>
        <v>436.5249158333333</v>
      </c>
      <c r="D42" s="11">
        <f>'R. Energetiche-Comb. (letture)'!Q67/3.6</f>
        <v>655.90208000000007</v>
      </c>
      <c r="E42" s="11">
        <f>'R. Energetiche-Comb. (letture)'!S67/3.6</f>
        <v>0</v>
      </c>
    </row>
    <row r="43" spans="1:7" ht="15.75" customHeight="1" x14ac:dyDescent="0.25">
      <c r="A43" s="2" t="s">
        <v>33</v>
      </c>
      <c r="B43" s="2" t="s">
        <v>190</v>
      </c>
      <c r="C43" s="11">
        <f>'R. Energetiche-Comb. (letture)'!O68/3.6</f>
        <v>578.22487666666666</v>
      </c>
      <c r="D43" s="11">
        <f>'R. Energetiche-Comb. (letture)'!Q68/3.6</f>
        <v>852.52344888888888</v>
      </c>
      <c r="E43" s="11">
        <f>'R. Energetiche-Comb. (letture)'!S68/3.6</f>
        <v>0</v>
      </c>
    </row>
    <row r="44" spans="1:7" ht="15.75" customHeight="1" x14ac:dyDescent="0.25">
      <c r="A44" s="2" t="s">
        <v>34</v>
      </c>
      <c r="B44" s="2" t="s">
        <v>190</v>
      </c>
      <c r="C44" s="11">
        <f>'R. Energetiche-Comb. (letture)'!O69/3.6</f>
        <v>1126.7052699999999</v>
      </c>
      <c r="D44" s="11">
        <f>'R. Energetiche-Comb. (letture)'!Q69/3.6</f>
        <v>744.85219555555557</v>
      </c>
      <c r="E44" s="11">
        <f>'R. Energetiche-Comb. (letture)'!S69/3.6</f>
        <v>0</v>
      </c>
      <c r="F44" s="17"/>
      <c r="G44" s="45"/>
    </row>
    <row r="45" spans="1:7" ht="15.75" customHeight="1" x14ac:dyDescent="0.25">
      <c r="A45" s="2" t="s">
        <v>35</v>
      </c>
      <c r="B45" s="2" t="s">
        <v>190</v>
      </c>
      <c r="C45" s="11">
        <f>'R. Energetiche-Comb. (letture)'!O70/3.6</f>
        <v>653.08839250000005</v>
      </c>
      <c r="D45" s="11">
        <f>'R. Energetiche-Comb. (letture)'!Q70/3.6</f>
        <v>579.83139555555567</v>
      </c>
      <c r="E45" s="11">
        <f>'R. Energetiche-Comb. (letture)'!S70/3.6</f>
        <v>0</v>
      </c>
    </row>
    <row r="46" spans="1:7" ht="15.75" customHeight="1" x14ac:dyDescent="0.25">
      <c r="A46" s="2" t="s">
        <v>36</v>
      </c>
      <c r="B46" s="2" t="s">
        <v>190</v>
      </c>
      <c r="C46" s="11">
        <f>'R. Energetiche-Comb. (letture)'!O71/3.6</f>
        <v>126.1382775</v>
      </c>
      <c r="D46" s="11">
        <f>'R. Energetiche-Comb. (letture)'!Q71/3.6</f>
        <v>3.3705955555555556</v>
      </c>
      <c r="E46" s="11">
        <f>'R. Energetiche-Comb. (letture)'!S71/3.6</f>
        <v>0</v>
      </c>
    </row>
    <row r="47" spans="1:7" ht="15.75" customHeight="1" x14ac:dyDescent="0.25">
      <c r="A47" s="2" t="s">
        <v>37</v>
      </c>
      <c r="B47" s="2" t="s">
        <v>190</v>
      </c>
      <c r="C47" s="11">
        <f>'R. Energetiche-Comb. (letture)'!O72/3.6</f>
        <v>765.56587583333328</v>
      </c>
      <c r="D47" s="11">
        <f>'R. Energetiche-Comb. (letture)'!Q72/3.6</f>
        <v>793.28597333333335</v>
      </c>
      <c r="E47" s="11">
        <f>'R. Energetiche-Comb. (letture)'!S72/3.6</f>
        <v>0</v>
      </c>
      <c r="F47" s="17"/>
      <c r="G47" s="45"/>
    </row>
    <row r="48" spans="1:7" ht="15.75" customHeight="1" x14ac:dyDescent="0.25">
      <c r="A48" s="2" t="s">
        <v>38</v>
      </c>
      <c r="B48" s="2" t="s">
        <v>190</v>
      </c>
      <c r="C48" s="11">
        <f>'R. Energetiche-Comb. (letture)'!O73/3.6</f>
        <v>803.46546916666671</v>
      </c>
      <c r="D48" s="11">
        <f>'R. Energetiche-Comb. (letture)'!Q73/3.6</f>
        <v>752.3149511111111</v>
      </c>
      <c r="E48" s="11">
        <f>'R. Energetiche-Comb. (letture)'!S73/3.6</f>
        <v>0</v>
      </c>
    </row>
    <row r="49" spans="1:7" ht="15.75" customHeight="1" x14ac:dyDescent="0.25">
      <c r="A49" s="2" t="s">
        <v>39</v>
      </c>
      <c r="B49" s="2" t="s">
        <v>190</v>
      </c>
      <c r="C49" s="11">
        <f>'R. Energetiche-Comb. (letture)'!O74/3.6</f>
        <v>522.11417416666666</v>
      </c>
      <c r="D49" s="11">
        <f>'R. Energetiche-Comb. (letture)'!Q74/3.6</f>
        <v>762.84188444444453</v>
      </c>
      <c r="E49" s="11">
        <f>'R. Energetiche-Comb. (letture)'!S74/3.6</f>
        <v>0</v>
      </c>
    </row>
    <row r="50" spans="1:7" ht="15.75" customHeight="1" x14ac:dyDescent="0.25">
      <c r="A50" s="2" t="s">
        <v>40</v>
      </c>
      <c r="B50" s="2" t="s">
        <v>190</v>
      </c>
      <c r="C50" s="11">
        <f>'R. Energetiche-Comb. (letture)'!O75/3.6</f>
        <v>455.82928250000003</v>
      </c>
      <c r="D50" s="11">
        <f>'R. Energetiche-Comb. (letture)'!Q75/3.6</f>
        <v>549.12042666666673</v>
      </c>
      <c r="E50" s="11">
        <f>'R. Energetiche-Comb. (letture)'!S75/3.6</f>
        <v>0</v>
      </c>
    </row>
    <row r="51" spans="1:7" ht="15.75" customHeight="1" x14ac:dyDescent="0.25">
      <c r="A51" s="12" t="s">
        <v>41</v>
      </c>
      <c r="B51" s="2" t="s">
        <v>190</v>
      </c>
      <c r="C51" s="13">
        <f t="shared" ref="C51:E51" si="3">SUBTOTAL(109,C39:C50)</f>
        <v>8843.0151966666672</v>
      </c>
      <c r="D51" s="13">
        <f t="shared" si="3"/>
        <v>8146.6009599999998</v>
      </c>
      <c r="E51" s="13">
        <f t="shared" si="3"/>
        <v>0</v>
      </c>
    </row>
    <row r="52" spans="1:7" ht="15.75" customHeight="1" x14ac:dyDescent="0.25"/>
    <row r="53" spans="1:7" ht="15.75" customHeight="1" x14ac:dyDescent="0.25"/>
    <row r="54" spans="1:7" ht="15.75" customHeight="1" x14ac:dyDescent="0.25">
      <c r="A54" s="1" t="s">
        <v>112</v>
      </c>
      <c r="B54" s="2"/>
      <c r="C54" s="2"/>
      <c r="D54" s="2"/>
      <c r="E54" s="2"/>
    </row>
    <row r="55" spans="1:7" ht="15.75" customHeight="1" x14ac:dyDescent="0.25">
      <c r="A55" s="2" t="s">
        <v>23</v>
      </c>
      <c r="B55" s="2" t="s">
        <v>24</v>
      </c>
      <c r="C55" s="2" t="s">
        <v>25</v>
      </c>
      <c r="D55" s="2" t="s">
        <v>26</v>
      </c>
      <c r="E55" s="2" t="s">
        <v>27</v>
      </c>
      <c r="F55" s="2"/>
      <c r="G55" s="2"/>
    </row>
    <row r="56" spans="1:7" ht="15.75" customHeight="1" x14ac:dyDescent="0.25">
      <c r="A56" s="2" t="s">
        <v>28</v>
      </c>
      <c r="B56" s="2" t="s">
        <v>190</v>
      </c>
      <c r="C56" s="11">
        <f t="shared" ref="C56:D56" si="4">C5+C22+C39</f>
        <v>1444.5888458333332</v>
      </c>
      <c r="D56" s="11">
        <f t="shared" si="4"/>
        <v>1142.1774266666666</v>
      </c>
      <c r="E56" s="11">
        <f t="shared" ref="E56" si="5">E5+E22+E39</f>
        <v>0</v>
      </c>
    </row>
    <row r="57" spans="1:7" ht="15.75" customHeight="1" x14ac:dyDescent="0.25">
      <c r="A57" s="2" t="s">
        <v>30</v>
      </c>
      <c r="B57" s="2" t="s">
        <v>190</v>
      </c>
      <c r="C57" s="11">
        <f t="shared" ref="C57:D57" si="6">C6+C23+C40</f>
        <v>1661.6668533333334</v>
      </c>
      <c r="D57" s="11">
        <f t="shared" si="6"/>
        <v>1218.8663422222223</v>
      </c>
      <c r="E57" s="11">
        <f t="shared" ref="E57" si="7">E6+E23+E40</f>
        <v>0</v>
      </c>
    </row>
    <row r="58" spans="1:7" ht="15.75" customHeight="1" x14ac:dyDescent="0.25">
      <c r="A58" s="2" t="s">
        <v>31</v>
      </c>
      <c r="B58" s="2" t="s">
        <v>190</v>
      </c>
      <c r="C58" s="11">
        <f t="shared" ref="C58:D58" si="8">C7+C24+C41</f>
        <v>1687.0384633333333</v>
      </c>
      <c r="D58" s="11">
        <f t="shared" si="8"/>
        <v>1150.2782399999999</v>
      </c>
      <c r="E58" s="11">
        <f t="shared" ref="E58" si="9">E7+E24+E41</f>
        <v>0</v>
      </c>
      <c r="F58" s="17"/>
      <c r="G58" s="45"/>
    </row>
    <row r="59" spans="1:7" ht="15.75" customHeight="1" x14ac:dyDescent="0.25">
      <c r="A59" s="2" t="s">
        <v>32</v>
      </c>
      <c r="B59" s="2" t="s">
        <v>190</v>
      </c>
      <c r="C59" s="11">
        <f t="shared" ref="C59:D59" si="10">C8+C25+C42</f>
        <v>782.03641583333342</v>
      </c>
      <c r="D59" s="11">
        <f t="shared" si="10"/>
        <v>963.77908000000002</v>
      </c>
      <c r="E59" s="11">
        <f t="shared" ref="E59" si="11">E8+E25+E42</f>
        <v>0</v>
      </c>
    </row>
    <row r="60" spans="1:7" ht="15.75" customHeight="1" x14ac:dyDescent="0.25">
      <c r="A60" s="2" t="s">
        <v>33</v>
      </c>
      <c r="B60" s="2" t="s">
        <v>190</v>
      </c>
      <c r="C60" s="11">
        <f t="shared" ref="C60:D60" si="12">C9+C26+C43</f>
        <v>1078.5998766666667</v>
      </c>
      <c r="D60" s="11">
        <f t="shared" si="12"/>
        <v>1246.0984488888889</v>
      </c>
      <c r="E60" s="11">
        <f t="shared" ref="E60" si="13">E9+E26+E43</f>
        <v>0</v>
      </c>
    </row>
    <row r="61" spans="1:7" ht="15.75" customHeight="1" x14ac:dyDescent="0.25">
      <c r="A61" s="2" t="s">
        <v>34</v>
      </c>
      <c r="B61" s="2" t="s">
        <v>190</v>
      </c>
      <c r="C61" s="11">
        <f t="shared" ref="C61:D61" si="14">C10+C27+C44</f>
        <v>1547.5262699999998</v>
      </c>
      <c r="D61" s="11">
        <f t="shared" si="14"/>
        <v>1102.8461955555556</v>
      </c>
      <c r="E61" s="11">
        <f t="shared" ref="E61" si="15">E10+E27+E44</f>
        <v>0</v>
      </c>
      <c r="F61" s="17"/>
      <c r="G61" s="45"/>
    </row>
    <row r="62" spans="1:7" ht="15.75" customHeight="1" x14ac:dyDescent="0.25">
      <c r="A62" s="2" t="s">
        <v>35</v>
      </c>
      <c r="B62" s="2" t="s">
        <v>190</v>
      </c>
      <c r="C62" s="11">
        <f t="shared" ref="C62:D62" si="16">C11+C28+C45</f>
        <v>962.28789250000011</v>
      </c>
      <c r="D62" s="11">
        <f t="shared" si="16"/>
        <v>927.44839555555563</v>
      </c>
      <c r="E62" s="11">
        <f t="shared" ref="E62" si="17">E11+E28+E45</f>
        <v>0</v>
      </c>
    </row>
    <row r="63" spans="1:7" ht="15.75" customHeight="1" x14ac:dyDescent="0.25">
      <c r="A63" s="2" t="s">
        <v>36</v>
      </c>
      <c r="B63" s="2" t="s">
        <v>190</v>
      </c>
      <c r="C63" s="11">
        <f t="shared" ref="C63:D63" si="18">C12+C29+C46</f>
        <v>224.52727749999994</v>
      </c>
      <c r="D63" s="11">
        <f t="shared" si="18"/>
        <v>23.810595555555558</v>
      </c>
      <c r="E63" s="11">
        <f t="shared" ref="E63" si="19">E12+E29+E46</f>
        <v>0</v>
      </c>
    </row>
    <row r="64" spans="1:7" ht="15.75" customHeight="1" x14ac:dyDescent="0.25">
      <c r="A64" s="2" t="s">
        <v>37</v>
      </c>
      <c r="B64" s="2" t="s">
        <v>190</v>
      </c>
      <c r="C64" s="11">
        <f t="shared" ref="C64:D64" si="20">C13+C30+C47</f>
        <v>1178.6143758333333</v>
      </c>
      <c r="D64" s="11">
        <f t="shared" si="20"/>
        <v>1198.8699733333333</v>
      </c>
      <c r="E64" s="11">
        <f t="shared" ref="E64" si="21">E13+E30+E47</f>
        <v>0</v>
      </c>
      <c r="F64" s="17"/>
      <c r="G64" s="45"/>
    </row>
    <row r="65" spans="1:5" ht="15.75" customHeight="1" x14ac:dyDescent="0.25">
      <c r="A65" s="2" t="s">
        <v>38</v>
      </c>
      <c r="B65" s="2" t="s">
        <v>190</v>
      </c>
      <c r="C65" s="11">
        <f t="shared" ref="C65:D65" si="22">C14+C31+C48</f>
        <v>1232.5519691666668</v>
      </c>
      <c r="D65" s="11">
        <f t="shared" si="22"/>
        <v>1154.2269511111112</v>
      </c>
      <c r="E65" s="11">
        <f t="shared" ref="E65" si="23">E14+E31+E48</f>
        <v>0</v>
      </c>
    </row>
    <row r="66" spans="1:5" ht="15.75" customHeight="1" x14ac:dyDescent="0.25">
      <c r="A66" s="2" t="s">
        <v>39</v>
      </c>
      <c r="B66" s="2" t="s">
        <v>190</v>
      </c>
      <c r="C66" s="11">
        <f t="shared" ref="C66:D66" si="24">C15+C32+C49</f>
        <v>767.83417416666657</v>
      </c>
      <c r="D66" s="11">
        <f t="shared" si="24"/>
        <v>1093.1988844444445</v>
      </c>
      <c r="E66" s="11">
        <f t="shared" ref="E66" si="25">E15+E32+E49</f>
        <v>0</v>
      </c>
    </row>
    <row r="67" spans="1:5" ht="15.75" customHeight="1" x14ac:dyDescent="0.25">
      <c r="A67" s="2" t="s">
        <v>40</v>
      </c>
      <c r="B67" s="2" t="s">
        <v>190</v>
      </c>
      <c r="C67" s="11">
        <f t="shared" ref="C67:D67" si="26">C16+C33+C50</f>
        <v>657.55528249999998</v>
      </c>
      <c r="D67" s="11">
        <f t="shared" si="26"/>
        <v>774.47142666666673</v>
      </c>
      <c r="E67" s="11">
        <f t="shared" ref="E67" si="27">E16+E33+E50</f>
        <v>0</v>
      </c>
    </row>
    <row r="68" spans="1:5" ht="15.75" customHeight="1" x14ac:dyDescent="0.25">
      <c r="A68" s="12" t="s">
        <v>41</v>
      </c>
      <c r="B68" s="2" t="s">
        <v>190</v>
      </c>
      <c r="C68" s="13">
        <f t="shared" ref="C68:D68" si="28">SUBTOTAL(109,C56:C67)</f>
        <v>13224.827696666665</v>
      </c>
      <c r="D68" s="13">
        <f t="shared" si="28"/>
        <v>11996.071960000001</v>
      </c>
      <c r="E68" s="13">
        <f t="shared" ref="E68" si="29">SUBTOTAL(109,E56:E67)</f>
        <v>0</v>
      </c>
    </row>
  </sheetData>
  <pageMargins left="0.7" right="0.7" top="0.75" bottom="0.75" header="0" footer="0"/>
  <pageSetup orientation="landscape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17</vt:i4>
      </vt:variant>
    </vt:vector>
  </HeadingPairs>
  <TitlesOfParts>
    <vt:vector size="17" baseType="lpstr">
      <vt:lpstr>1. Materie Prime</vt:lpstr>
      <vt:lpstr>4. Prodotti Finiti</vt:lpstr>
      <vt:lpstr>Prodotti finiti mese</vt:lpstr>
      <vt:lpstr>6. Consumo Risorse Idriche</vt:lpstr>
      <vt:lpstr>Risorse Idriche mese</vt:lpstr>
      <vt:lpstr>R. Idriche (letture) </vt:lpstr>
      <vt:lpstr>7. Risorse Energetiche</vt:lpstr>
      <vt:lpstr>R. Energetiche-Comb. (letture)</vt:lpstr>
      <vt:lpstr>Risorse Energetiche mese</vt:lpstr>
      <vt:lpstr>8. Combustibili</vt:lpstr>
      <vt:lpstr>9, Emissioni in Aria Convogliat</vt:lpstr>
      <vt:lpstr>13a. Uscita Depuratore</vt:lpstr>
      <vt:lpstr>13b. Uscita Depuratore_BAT</vt:lpstr>
      <vt:lpstr>15. Rifiuti in uscita</vt:lpstr>
      <vt:lpstr>Rifiuti Pivot</vt:lpstr>
      <vt:lpstr>21. Indicatori Performance</vt:lpstr>
      <vt:lpstr>22. Indicatori Circolarità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Testa</dc:creator>
  <cp:lastModifiedBy>Umberto Testa</cp:lastModifiedBy>
  <dcterms:created xsi:type="dcterms:W3CDTF">2025-01-10T15:19:45Z</dcterms:created>
  <dcterms:modified xsi:type="dcterms:W3CDTF">2025-05-27T17:01:24Z</dcterms:modified>
</cp:coreProperties>
</file>