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8_{7BF986B2-E15E-4867-AC4F-71F64EB80BCD}" xr6:coauthVersionLast="47" xr6:coauthVersionMax="47" xr10:uidLastSave="{00000000-0000-0000-0000-000000000000}"/>
  <bookViews>
    <workbookView xWindow="-120" yWindow="-120" windowWidth="29040" windowHeight="15720" xr2:uid="{00000000-000D-0000-FFFF-FFFF00000000}"/>
  </bookViews>
  <sheets>
    <sheet name="1-Materie prime e prodotti aus" sheetId="1" r:id="rId1"/>
    <sheet name="2(NP)-Rifiuti in ingresso" sheetId="2" r:id="rId2"/>
    <sheet name="3(NP)-EoW-MPS-Sottoprodotti" sheetId="3" r:id="rId3"/>
    <sheet name="4-Prodotti finiti" sheetId="4" r:id="rId4"/>
    <sheet name="4b-Sottoprodotti-EoW" sheetId="5" r:id="rId5"/>
    <sheet name="5(NP)-Controllo radiometrico" sheetId="6" r:id="rId6"/>
    <sheet name="6-Risorse idriche" sheetId="7" r:id="rId7"/>
    <sheet name="7-Energia" sheetId="8" r:id="rId8"/>
    <sheet name="8-Combustibili" sheetId="9" r:id="rId9"/>
    <sheet name="9-Emissioni in aria CT" sheetId="28" r:id="rId10"/>
    <sheet name="9-Emissioni in aria FIN-TIN" sheetId="10" r:id="rId11"/>
    <sheet name="10-Sistemi di trattamento fumi" sheetId="11" r:id="rId12"/>
    <sheet name="11-Emissioni diffuse" sheetId="12" r:id="rId13"/>
    <sheet name="11b-Emissioni odorigene" sheetId="13" r:id="rId14"/>
    <sheet name="12-Ingresso impianto di dep" sheetId="14" r:id="rId15"/>
    <sheet name="13-Uscita depuratore (SD)" sheetId="15" r:id="rId16"/>
    <sheet name="13-Uscita depuratore (SI)" sheetId="29" r:id="rId17"/>
    <sheet name="14-Gestione impianto di dep" sheetId="16" r:id="rId18"/>
    <sheet name="15-Rifiuti in uscita" sheetId="17" r:id="rId19"/>
    <sheet name="16-Suolo" sheetId="18" r:id="rId20"/>
    <sheet name="17-Acque sotterranee" sheetId="19" r:id="rId21"/>
    <sheet name="17a-Vasche e sistemi di cont" sheetId="20" r:id="rId22"/>
    <sheet name="17b-Verifica tenuta" sheetId="21" r:id="rId23"/>
    <sheet name="18-Audit SGA" sheetId="22" r:id="rId24"/>
    <sheet name="19-Sistemi di controllo" sheetId="23" r:id="rId25"/>
    <sheet name="20-Manutezione ordinaria" sheetId="24" r:id="rId26"/>
    <sheet name="21-Eventi accidentali" sheetId="25" r:id="rId27"/>
    <sheet name="21-Indicatori di performance" sheetId="26" r:id="rId28"/>
    <sheet name="22-Indicatori di circolarità" sheetId="27" r:id="rId29"/>
  </sheets>
  <definedNames>
    <definedName name="_xlnm._FilterDatabase" localSheetId="11" hidden="1">'10-Sistemi di trattamento fumi'!$A$3:$G$3</definedName>
    <definedName name="_xlnm._FilterDatabase" localSheetId="13" hidden="1">'11b-Emissioni odorigene'!$A$3:$E$3</definedName>
    <definedName name="_xlnm._FilterDatabase" localSheetId="12" hidden="1">'11-Emissioni diffuse'!$A$3:$H$3</definedName>
    <definedName name="_xlnm._FilterDatabase" localSheetId="14" hidden="1">'12-Ingresso impianto di dep'!$A$6:$M$6</definedName>
    <definedName name="_xlnm._FilterDatabase" localSheetId="15" hidden="1">'13-Uscita depuratore (SD)'!$A$6:$AO$35</definedName>
    <definedName name="_xlnm._FilterDatabase" localSheetId="16" hidden="1">'13-Uscita depuratore (SI)'!$A$6:$AO$19</definedName>
    <definedName name="_xlnm._FilterDatabase" localSheetId="17" hidden="1">'14-Gestione impianto di dep'!$A$4:$G$4</definedName>
    <definedName name="_xlnm._FilterDatabase" localSheetId="18" hidden="1">'15-Rifiuti in uscita'!$A$1:$N$50</definedName>
    <definedName name="_xlnm._FilterDatabase" localSheetId="19" hidden="1">'16-Suolo'!$A$3:$G$3</definedName>
    <definedName name="_xlnm._FilterDatabase" localSheetId="20" hidden="1">'17-Acque sotterranee'!$A$3:$G$3</definedName>
    <definedName name="_xlnm._FilterDatabase" localSheetId="21" hidden="1">'17a-Vasche e sistemi di cont'!$A$4:$G$4</definedName>
    <definedName name="_xlnm._FilterDatabase" localSheetId="22" hidden="1">'17b-Verifica tenuta'!$A$3:$E$3</definedName>
    <definedName name="_xlnm._FilterDatabase" localSheetId="23" hidden="1">'18-Audit SGA'!$A$3:$D$3</definedName>
    <definedName name="_xlnm._FilterDatabase" localSheetId="24" hidden="1">'19-Sistemi di controllo'!$A$3:$H$3</definedName>
    <definedName name="_xlnm._FilterDatabase" localSheetId="0" hidden="1">'1-Materie prime e prodotti aus'!$A$4:$K$20</definedName>
    <definedName name="_xlnm._FilterDatabase" localSheetId="25" hidden="1">'20-Manutezione ordinaria'!$A$4:$G$4</definedName>
    <definedName name="_xlnm._FilterDatabase" localSheetId="26" hidden="1">'21-Eventi accidentali'!$A$3:$G$3</definedName>
    <definedName name="_xlnm._FilterDatabase" localSheetId="27" hidden="1">'21-Indicatori di performance'!$A$3:$F$3</definedName>
    <definedName name="_xlnm._FilterDatabase" localSheetId="28" hidden="1">'22-Indicatori di circolarità'!$A$3:$F$3</definedName>
    <definedName name="_xlnm._FilterDatabase" localSheetId="4" hidden="1">'4b-Sottoprodotti-EoW'!$A$4:$L$4</definedName>
    <definedName name="_xlnm._FilterDatabase" localSheetId="3" hidden="1">'4-Prodotti finiti'!$A$4:$J$5</definedName>
    <definedName name="_xlnm._FilterDatabase" localSheetId="6" hidden="1">'6-Risorse idriche'!$A$3:$L$3</definedName>
    <definedName name="_xlnm._FilterDatabase" localSheetId="7" hidden="1">'7-Energia'!$A$3:$I$3</definedName>
    <definedName name="_xlnm._FilterDatabase" localSheetId="8" hidden="1">'8-Combustibili'!$A$3:$I$3</definedName>
    <definedName name="_xlnm._FilterDatabase" localSheetId="9" hidden="1">'9-Emissioni in aria CT'!$A$4:$K$4</definedName>
    <definedName name="_xlnm._FilterDatabase" localSheetId="10" hidden="1">'9-Emissioni in aria FIN-TIN'!$A$4:$L$4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7" l="1"/>
  <c r="C13" i="27" l="1"/>
  <c r="C18" i="27"/>
  <c r="C8" i="27"/>
  <c r="C20" i="27" l="1"/>
  <c r="C19" i="27"/>
  <c r="F13" i="9" l="1"/>
  <c r="F15" i="8" l="1"/>
  <c r="C20" i="26" s="1"/>
  <c r="AL45" i="15"/>
  <c r="AK45" i="15"/>
  <c r="AJ45" i="15"/>
  <c r="AH45" i="15"/>
  <c r="AA45" i="15"/>
  <c r="N45" i="15"/>
  <c r="K45" i="15"/>
  <c r="G45" i="15"/>
  <c r="H45" i="15"/>
  <c r="AB45" i="15"/>
  <c r="AG45" i="15"/>
  <c r="AF45" i="15"/>
  <c r="H35" i="1"/>
  <c r="G11" i="4"/>
  <c r="C23" i="26" s="1"/>
  <c r="G12" i="4"/>
  <c r="F15" i="9" l="1"/>
  <c r="H37" i="1" l="1"/>
  <c r="H23" i="7"/>
  <c r="C19" i="26" s="1"/>
  <c r="I28" i="10"/>
  <c r="I27" i="10"/>
  <c r="I26" i="10"/>
  <c r="I25" i="10"/>
  <c r="H25" i="10"/>
  <c r="I24" i="10"/>
  <c r="H24" i="10"/>
  <c r="I23" i="10"/>
  <c r="H23" i="10"/>
  <c r="I22" i="10"/>
  <c r="G22" i="10"/>
  <c r="H20" i="28" l="1"/>
  <c r="H19" i="28"/>
  <c r="H18" i="28"/>
  <c r="H8" i="5"/>
  <c r="AJ44" i="15"/>
  <c r="AH44" i="15"/>
  <c r="AA44" i="15"/>
  <c r="N44" i="15"/>
  <c r="K44" i="15"/>
  <c r="H44" i="15"/>
  <c r="G44" i="15"/>
  <c r="AB44" i="15"/>
  <c r="AG44" i="15"/>
  <c r="AF44" i="15"/>
  <c r="AJ43" i="15"/>
  <c r="AH43" i="15"/>
  <c r="AA43" i="15"/>
  <c r="N43" i="15"/>
  <c r="K43" i="15"/>
  <c r="H43" i="15"/>
  <c r="G43" i="15"/>
  <c r="AB43" i="15"/>
  <c r="AG43" i="15"/>
  <c r="AF43" i="15"/>
  <c r="AL42" i="15"/>
  <c r="AK42" i="15"/>
  <c r="AJ42" i="15"/>
  <c r="AH42" i="15"/>
  <c r="AA42" i="15"/>
  <c r="N42" i="15"/>
  <c r="K42" i="15"/>
  <c r="H42" i="15"/>
  <c r="G42" i="15"/>
  <c r="AB42" i="15"/>
  <c r="AG42" i="15"/>
  <c r="AF42" i="15"/>
  <c r="AJ39" i="15"/>
  <c r="AH39" i="15"/>
  <c r="AA39" i="15"/>
  <c r="N39" i="15"/>
  <c r="K39" i="15"/>
  <c r="H39" i="15"/>
  <c r="G39" i="15"/>
  <c r="AB39" i="15"/>
  <c r="AG39" i="15"/>
  <c r="AF39" i="15"/>
  <c r="AL41" i="15"/>
  <c r="AK41" i="15"/>
  <c r="AJ41" i="15"/>
  <c r="AH41" i="15"/>
  <c r="AA41" i="15"/>
  <c r="N41" i="15"/>
  <c r="K41" i="15"/>
  <c r="H41" i="15"/>
  <c r="G41" i="15"/>
  <c r="AB41" i="15"/>
  <c r="AG41" i="15"/>
  <c r="AF41" i="15"/>
  <c r="AJ40" i="15"/>
  <c r="AH40" i="15"/>
  <c r="AA40" i="15"/>
  <c r="N40" i="15"/>
  <c r="H40" i="15"/>
  <c r="G40" i="15"/>
  <c r="AB40" i="15"/>
  <c r="AG40" i="15"/>
  <c r="AF40" i="15"/>
  <c r="AJ38" i="15"/>
  <c r="AI38" i="15"/>
  <c r="AH38" i="15"/>
  <c r="AA38" i="15"/>
  <c r="N38" i="15"/>
  <c r="K38" i="15"/>
  <c r="H38" i="15"/>
  <c r="G38" i="15"/>
  <c r="AB38" i="15"/>
  <c r="AG38" i="15"/>
  <c r="AF38" i="15"/>
  <c r="I5" i="10" l="1"/>
  <c r="H14" i="10"/>
  <c r="I12" i="10"/>
  <c r="H12" i="10"/>
  <c r="I7" i="10"/>
  <c r="I9" i="10"/>
  <c r="I8" i="10"/>
  <c r="I6" i="10"/>
  <c r="G5" i="10"/>
  <c r="I10" i="10"/>
  <c r="G10" i="10"/>
  <c r="H16" i="28"/>
  <c r="H15" i="28"/>
  <c r="H14" i="28"/>
  <c r="H13" i="28"/>
  <c r="H12" i="28"/>
  <c r="H11" i="28"/>
  <c r="H10" i="28"/>
  <c r="H9" i="28"/>
  <c r="H8" i="28"/>
  <c r="H7" i="28"/>
  <c r="H6" i="28"/>
  <c r="H5" i="28"/>
  <c r="F10" i="9"/>
  <c r="F7" i="9"/>
  <c r="F4" i="9"/>
  <c r="C15" i="27"/>
  <c r="C10" i="27"/>
  <c r="C5" i="27"/>
  <c r="C9" i="27"/>
  <c r="C4" i="27"/>
  <c r="C14" i="27" l="1"/>
  <c r="AJ37" i="15" l="1"/>
  <c r="AH37" i="15"/>
  <c r="AA37" i="15"/>
  <c r="N37" i="15"/>
  <c r="K37" i="15"/>
  <c r="H37" i="15"/>
  <c r="G37" i="15"/>
  <c r="AB37" i="15"/>
  <c r="AG37" i="15"/>
  <c r="AF37" i="15"/>
  <c r="AL36" i="15"/>
  <c r="AK36" i="15" l="1"/>
  <c r="Y36" i="15"/>
  <c r="AJ36" i="15"/>
  <c r="AH36" i="15"/>
  <c r="AA36" i="15"/>
  <c r="N36" i="15"/>
  <c r="K36" i="15"/>
  <c r="H36" i="15"/>
  <c r="G36" i="15"/>
  <c r="AB36" i="15"/>
  <c r="AG36" i="15"/>
  <c r="AF36" i="15"/>
  <c r="AJ35" i="15" l="1"/>
  <c r="AH35" i="15"/>
  <c r="AG35" i="15"/>
  <c r="AF35" i="15"/>
  <c r="AF34" i="15"/>
  <c r="AF33" i="15"/>
  <c r="AB35" i="15"/>
  <c r="AA35" i="15"/>
  <c r="N35" i="15"/>
  <c r="K35" i="15"/>
  <c r="AJ34" i="15"/>
  <c r="AJ33" i="15"/>
  <c r="AH34" i="15"/>
  <c r="AH33" i="15"/>
  <c r="AG34" i="15"/>
  <c r="AG33" i="15"/>
  <c r="AB34" i="15"/>
  <c r="AB33" i="15"/>
  <c r="AA34" i="15"/>
  <c r="AA33" i="15"/>
  <c r="N34" i="15"/>
  <c r="N33" i="15"/>
  <c r="K34" i="15"/>
  <c r="K33" i="15"/>
  <c r="G35" i="15"/>
  <c r="G34" i="15"/>
  <c r="G33" i="15"/>
  <c r="H34" i="15"/>
  <c r="H33" i="15"/>
  <c r="H35" i="15"/>
  <c r="H11" i="7" l="1"/>
  <c r="H17" i="7"/>
  <c r="H7" i="5" l="1"/>
  <c r="G9" i="4"/>
  <c r="G10" i="4"/>
  <c r="C15" i="26" l="1"/>
  <c r="C22" i="27" s="1"/>
  <c r="C18" i="26"/>
  <c r="C14" i="26"/>
  <c r="C21" i="27" s="1"/>
  <c r="I15" i="10" l="1"/>
  <c r="I17" i="10"/>
  <c r="I21" i="10"/>
  <c r="I20" i="10"/>
  <c r="I19" i="10"/>
  <c r="H5" i="5" l="1"/>
  <c r="H6" i="5"/>
  <c r="G8" i="4" l="1"/>
  <c r="G7" i="4"/>
  <c r="C13" i="26" s="1"/>
  <c r="G6" i="4"/>
  <c r="G5" i="4"/>
  <c r="C8" i="26" s="1"/>
  <c r="C5" i="26" l="1"/>
  <c r="C7" i="27" s="1"/>
  <c r="C4" i="26"/>
  <c r="C6" i="27" s="1"/>
  <c r="C10" i="26"/>
  <c r="C9" i="26"/>
  <c r="H18" i="1"/>
  <c r="H20" i="1"/>
  <c r="C12" i="27" l="1"/>
  <c r="C17" i="27"/>
  <c r="C11" i="27"/>
  <c r="C16"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G5" authorId="0" shapeId="0" xr:uid="{00000000-0006-0000-0900-000001000000}">
      <text>
        <r>
          <rPr>
            <b/>
            <sz val="9"/>
            <color indexed="81"/>
            <rFont val="Tahoma"/>
            <family val="2"/>
          </rPr>
          <t>&lt;2,5</t>
        </r>
      </text>
    </comment>
    <comment ref="G6" authorId="0" shapeId="0" xr:uid="{00000000-0006-0000-0900-000002000000}">
      <text>
        <r>
          <rPr>
            <b/>
            <sz val="9"/>
            <color indexed="81"/>
            <rFont val="Tahoma"/>
            <family val="2"/>
          </rPr>
          <t>&lt;2,5</t>
        </r>
      </text>
    </comment>
    <comment ref="G7" authorId="0" shapeId="0" xr:uid="{00000000-0006-0000-0900-000003000000}">
      <text>
        <r>
          <rPr>
            <b/>
            <sz val="9"/>
            <color indexed="81"/>
            <rFont val="Tahoma"/>
            <family val="2"/>
          </rPr>
          <t>&lt;2,5</t>
        </r>
      </text>
    </comment>
    <comment ref="G8" authorId="0" shapeId="0" xr:uid="{00000000-0006-0000-0900-000004000000}">
      <text>
        <r>
          <rPr>
            <b/>
            <sz val="9"/>
            <color indexed="81"/>
            <rFont val="Tahoma"/>
            <family val="2"/>
          </rPr>
          <t>&lt;2,5</t>
        </r>
      </text>
    </comment>
    <comment ref="G9" authorId="0" shapeId="0" xr:uid="{00000000-0006-0000-0900-000005000000}">
      <text>
        <r>
          <rPr>
            <b/>
            <sz val="9"/>
            <color indexed="81"/>
            <rFont val="Tahoma"/>
            <family val="2"/>
          </rPr>
          <t>&lt;2,4</t>
        </r>
      </text>
    </comment>
    <comment ref="G10" authorId="0" shapeId="0" xr:uid="{00000000-0006-0000-0900-000006000000}">
      <text>
        <r>
          <rPr>
            <b/>
            <sz val="9"/>
            <color indexed="81"/>
            <rFont val="Tahoma"/>
            <family val="2"/>
          </rPr>
          <t>&lt;2,6</t>
        </r>
      </text>
    </comment>
    <comment ref="G11" authorId="0" shapeId="0" xr:uid="{00000000-0006-0000-0900-000007000000}">
      <text>
        <r>
          <rPr>
            <b/>
            <sz val="9"/>
            <color indexed="81"/>
            <rFont val="Tahoma"/>
            <family val="2"/>
          </rPr>
          <t>&lt;2,5</t>
        </r>
        <r>
          <rPr>
            <sz val="9"/>
            <color indexed="81"/>
            <rFont val="Tahoma"/>
            <family val="2"/>
          </rPr>
          <t xml:space="preserve">
</t>
        </r>
      </text>
    </comment>
    <comment ref="G12" authorId="0" shapeId="0" xr:uid="{00000000-0006-0000-0900-000008000000}">
      <text>
        <r>
          <rPr>
            <b/>
            <sz val="9"/>
            <color indexed="81"/>
            <rFont val="Tahoma"/>
            <family val="2"/>
          </rPr>
          <t>&lt;2,4</t>
        </r>
        <r>
          <rPr>
            <sz val="9"/>
            <color indexed="81"/>
            <rFont val="Tahoma"/>
            <family val="2"/>
          </rPr>
          <t xml:space="preserve">
</t>
        </r>
      </text>
    </comment>
    <comment ref="G13" authorId="0" shapeId="0" xr:uid="{00000000-0006-0000-0900-000009000000}">
      <text>
        <r>
          <rPr>
            <b/>
            <sz val="9"/>
            <color indexed="81"/>
            <rFont val="Tahoma"/>
            <family val="2"/>
          </rPr>
          <t>&lt;2,6</t>
        </r>
        <r>
          <rPr>
            <sz val="9"/>
            <color indexed="81"/>
            <rFont val="Tahoma"/>
            <family val="2"/>
          </rPr>
          <t xml:space="preserve">
</t>
        </r>
      </text>
    </comment>
    <comment ref="G14" authorId="0" shapeId="0" xr:uid="{00000000-0006-0000-0900-00000A000000}">
      <text>
        <r>
          <rPr>
            <b/>
            <sz val="9"/>
            <color indexed="81"/>
            <rFont val="Tahoma"/>
            <family val="2"/>
          </rPr>
          <t>&lt;3</t>
        </r>
        <r>
          <rPr>
            <sz val="9"/>
            <color indexed="81"/>
            <rFont val="Tahoma"/>
            <family val="2"/>
          </rPr>
          <t xml:space="preserve">
</t>
        </r>
      </text>
    </comment>
    <comment ref="G15" authorId="0" shapeId="0" xr:uid="{00000000-0006-0000-0900-00000B000000}">
      <text>
        <r>
          <rPr>
            <b/>
            <sz val="9"/>
            <color indexed="81"/>
            <rFont val="Tahoma"/>
            <family val="2"/>
          </rPr>
          <t>&lt;3,1</t>
        </r>
      </text>
    </comment>
    <comment ref="G16" authorId="0" shapeId="0" xr:uid="{00000000-0006-0000-0900-00000C000000}">
      <text>
        <r>
          <rPr>
            <b/>
            <sz val="9"/>
            <color indexed="81"/>
            <rFont val="Tahoma"/>
            <family val="2"/>
          </rPr>
          <t>&lt;2,5</t>
        </r>
        <r>
          <rPr>
            <sz val="9"/>
            <color indexed="81"/>
            <rFont val="Tahoma"/>
            <family val="2"/>
          </rPr>
          <t xml:space="preserve">
</t>
        </r>
      </text>
    </comment>
    <comment ref="G17" authorId="0" shapeId="0" xr:uid="{00000000-0006-0000-0900-00000D000000}">
      <text>
        <r>
          <rPr>
            <b/>
            <sz val="9"/>
            <color indexed="81"/>
            <rFont val="Tahoma"/>
            <family val="2"/>
          </rPr>
          <t>&lt;2,5</t>
        </r>
      </text>
    </comment>
    <comment ref="G18" authorId="0" shapeId="0" xr:uid="{00000000-0006-0000-0900-00000E000000}">
      <text>
        <r>
          <rPr>
            <b/>
            <sz val="9"/>
            <color indexed="81"/>
            <rFont val="Tahoma"/>
            <family val="2"/>
          </rPr>
          <t>&lt;2,6</t>
        </r>
      </text>
    </comment>
    <comment ref="G19" authorId="0" shapeId="0" xr:uid="{00000000-0006-0000-0900-00000F000000}">
      <text>
        <r>
          <rPr>
            <b/>
            <sz val="9"/>
            <color indexed="81"/>
            <rFont val="Tahoma"/>
            <family val="2"/>
          </rPr>
          <t>&lt;2,6</t>
        </r>
        <r>
          <rPr>
            <sz val="9"/>
            <color indexed="81"/>
            <rFont val="Tahoma"/>
            <family val="2"/>
          </rPr>
          <t xml:space="preserve">
</t>
        </r>
      </text>
    </comment>
    <comment ref="G20" authorId="0" shapeId="0" xr:uid="{00000000-0006-0000-0900-000010000000}">
      <text>
        <r>
          <rPr>
            <b/>
            <sz val="9"/>
            <color indexed="81"/>
            <rFont val="Tahoma"/>
            <family val="2"/>
          </rPr>
          <t>&lt;2,7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H6" authorId="0" shapeId="0" xr:uid="{00000000-0006-0000-0A00-000001000000}">
      <text>
        <r>
          <rPr>
            <b/>
            <sz val="9"/>
            <color indexed="81"/>
            <rFont val="Tahoma"/>
            <family val="2"/>
          </rPr>
          <t>&lt;2,33</t>
        </r>
        <r>
          <rPr>
            <sz val="9"/>
            <color indexed="81"/>
            <rFont val="Tahoma"/>
            <family val="2"/>
          </rPr>
          <t xml:space="preserve">
</t>
        </r>
      </text>
    </comment>
    <comment ref="H7" authorId="0" shapeId="0" xr:uid="{00000000-0006-0000-0A00-000002000000}">
      <text>
        <r>
          <rPr>
            <sz val="9"/>
            <color indexed="81"/>
            <rFont val="Tahoma"/>
            <family val="2"/>
          </rPr>
          <t xml:space="preserve">&lt;1,35
</t>
        </r>
      </text>
    </comment>
    <comment ref="H8" authorId="0" shapeId="0" xr:uid="{00000000-0006-0000-0A00-000003000000}">
      <text>
        <r>
          <rPr>
            <b/>
            <sz val="9"/>
            <color indexed="81"/>
            <rFont val="Tahoma"/>
            <family val="2"/>
          </rPr>
          <t>&lt;0,56</t>
        </r>
      </text>
    </comment>
    <comment ref="H9" authorId="0" shapeId="0" xr:uid="{00000000-0006-0000-0A00-000004000000}">
      <text>
        <r>
          <rPr>
            <b/>
            <sz val="9"/>
            <color indexed="81"/>
            <rFont val="Tahoma"/>
            <family val="2"/>
          </rPr>
          <t>&lt;3,36</t>
        </r>
      </text>
    </comment>
    <comment ref="H13" authorId="0" shapeId="0" xr:uid="{00000000-0006-0000-0A00-000005000000}">
      <text>
        <r>
          <rPr>
            <b/>
            <sz val="9"/>
            <color indexed="81"/>
            <rFont val="Tahoma"/>
            <family val="2"/>
          </rPr>
          <t>&lt;3,76</t>
        </r>
      </text>
    </comment>
    <comment ref="G15" authorId="0" shapeId="0" xr:uid="{00000000-0006-0000-0A00-000006000000}">
      <text>
        <r>
          <rPr>
            <b/>
            <sz val="9"/>
            <color indexed="81"/>
            <rFont val="Tahoma"/>
            <family val="2"/>
          </rPr>
          <t>&lt;1,94</t>
        </r>
      </text>
    </comment>
    <comment ref="H17" authorId="0" shapeId="0" xr:uid="{00000000-0006-0000-0A00-000007000000}">
      <text>
        <r>
          <rPr>
            <b/>
            <sz val="9"/>
            <color indexed="81"/>
            <rFont val="Tahoma"/>
            <family val="2"/>
          </rPr>
          <t>&lt;0,45</t>
        </r>
        <r>
          <rPr>
            <sz val="9"/>
            <color indexed="81"/>
            <rFont val="Tahoma"/>
            <family val="2"/>
          </rPr>
          <t xml:space="preserve">
</t>
        </r>
      </text>
    </comment>
    <comment ref="H19" authorId="0" shapeId="0" xr:uid="{00000000-0006-0000-0A00-000008000000}">
      <text>
        <r>
          <rPr>
            <b/>
            <sz val="9"/>
            <color indexed="81"/>
            <rFont val="Tahoma"/>
            <family val="2"/>
          </rPr>
          <t>&lt;0,51</t>
        </r>
        <r>
          <rPr>
            <sz val="9"/>
            <color indexed="81"/>
            <rFont val="Tahoma"/>
            <family val="2"/>
          </rPr>
          <t xml:space="preserve">
</t>
        </r>
      </text>
    </comment>
    <comment ref="H20" authorId="0" shapeId="0" xr:uid="{00000000-0006-0000-0A00-000009000000}">
      <text>
        <r>
          <rPr>
            <b/>
            <sz val="9"/>
            <color indexed="81"/>
            <rFont val="Tahoma"/>
            <family val="2"/>
          </rPr>
          <t>&lt;0,41</t>
        </r>
        <r>
          <rPr>
            <sz val="9"/>
            <color indexed="81"/>
            <rFont val="Tahoma"/>
            <family val="2"/>
          </rPr>
          <t xml:space="preserve">
</t>
        </r>
      </text>
    </comment>
    <comment ref="H21" authorId="0" shapeId="0" xr:uid="{00000000-0006-0000-0A00-00000A000000}">
      <text>
        <r>
          <rPr>
            <b/>
            <sz val="9"/>
            <color indexed="81"/>
            <rFont val="Tahoma"/>
            <family val="2"/>
          </rPr>
          <t>&lt;0,54</t>
        </r>
      </text>
    </comment>
    <comment ref="H23" authorId="0" shapeId="0" xr:uid="{00000000-0006-0000-0A00-00000B000000}">
      <text>
        <r>
          <rPr>
            <b/>
            <sz val="9"/>
            <color indexed="81"/>
            <rFont val="Tahoma"/>
            <family val="2"/>
          </rPr>
          <t>&lt;0,86+1,07</t>
        </r>
      </text>
    </comment>
    <comment ref="H26" authorId="0" shapeId="0" xr:uid="{00000000-0006-0000-0A00-00000C000000}">
      <text>
        <r>
          <rPr>
            <b/>
            <sz val="9"/>
            <color indexed="81"/>
            <rFont val="Tahoma"/>
            <family val="2"/>
          </rPr>
          <t>&lt;0,5</t>
        </r>
        <r>
          <rPr>
            <sz val="9"/>
            <color indexed="81"/>
            <rFont val="Tahoma"/>
            <family val="2"/>
          </rPr>
          <t xml:space="preserve">
</t>
        </r>
      </text>
    </comment>
    <comment ref="H27" authorId="0" shapeId="0" xr:uid="{00000000-0006-0000-0A00-00000D000000}">
      <text>
        <r>
          <rPr>
            <b/>
            <sz val="9"/>
            <color indexed="81"/>
            <rFont val="Tahoma"/>
            <family val="2"/>
          </rPr>
          <t>&lt;0,43</t>
        </r>
        <r>
          <rPr>
            <sz val="9"/>
            <color indexed="81"/>
            <rFont val="Tahoma"/>
            <family val="2"/>
          </rPr>
          <t xml:space="preserve">
</t>
        </r>
      </text>
    </comment>
    <comment ref="H28" authorId="0" shapeId="0" xr:uid="{00000000-0006-0000-0A00-00000E000000}">
      <text>
        <r>
          <rPr>
            <b/>
            <sz val="9"/>
            <color indexed="81"/>
            <rFont val="Tahoma"/>
            <family val="2"/>
          </rPr>
          <t>&lt;0,5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L33" authorId="0" shapeId="0" xr:uid="{00000000-0006-0000-0F00-000001000000}">
      <text>
        <r>
          <rPr>
            <b/>
            <sz val="9"/>
            <color indexed="81"/>
            <rFont val="Tahoma"/>
            <family val="2"/>
          </rPr>
          <t>&lt;0,004</t>
        </r>
      </text>
    </comment>
    <comment ref="M33" authorId="0" shapeId="0" xr:uid="{00000000-0006-0000-0F00-000002000000}">
      <text>
        <r>
          <rPr>
            <b/>
            <sz val="9"/>
            <color indexed="81"/>
            <rFont val="Tahoma"/>
            <family val="2"/>
          </rPr>
          <t>&lt;0,002</t>
        </r>
        <r>
          <rPr>
            <sz val="9"/>
            <color indexed="81"/>
            <rFont val="Tahoma"/>
            <family val="2"/>
          </rPr>
          <t xml:space="preserve">
</t>
        </r>
      </text>
    </comment>
    <comment ref="O33" authorId="0" shapeId="0" xr:uid="{00000000-0006-0000-0F00-000003000000}">
      <text>
        <r>
          <rPr>
            <b/>
            <sz val="9"/>
            <color indexed="81"/>
            <rFont val="Tahoma"/>
            <family val="2"/>
          </rPr>
          <t>&lt;0,05</t>
        </r>
        <r>
          <rPr>
            <sz val="9"/>
            <color indexed="81"/>
            <rFont val="Tahoma"/>
            <family val="2"/>
          </rPr>
          <t xml:space="preserve">
</t>
        </r>
      </text>
    </comment>
    <comment ref="AI33" authorId="0" shapeId="0" xr:uid="{00000000-0006-0000-0F00-000004000000}">
      <text>
        <r>
          <rPr>
            <b/>
            <sz val="9"/>
            <color indexed="81"/>
            <rFont val="Tahoma"/>
            <family val="2"/>
          </rPr>
          <t>&lt;0,03</t>
        </r>
      </text>
    </comment>
    <comment ref="L34" authorId="0" shapeId="0" xr:uid="{00000000-0006-0000-0F00-000005000000}">
      <text>
        <r>
          <rPr>
            <b/>
            <sz val="9"/>
            <color indexed="81"/>
            <rFont val="Tahoma"/>
            <family val="2"/>
          </rPr>
          <t>&lt;0,004</t>
        </r>
        <r>
          <rPr>
            <sz val="9"/>
            <color indexed="81"/>
            <rFont val="Tahoma"/>
            <family val="2"/>
          </rPr>
          <t xml:space="preserve">
</t>
        </r>
      </text>
    </comment>
    <comment ref="M34" authorId="0" shapeId="0" xr:uid="{00000000-0006-0000-0F00-000006000000}">
      <text>
        <r>
          <rPr>
            <b/>
            <sz val="9"/>
            <color indexed="81"/>
            <rFont val="Tahoma"/>
            <family val="2"/>
          </rPr>
          <t>&lt;0,002</t>
        </r>
        <r>
          <rPr>
            <sz val="9"/>
            <color indexed="81"/>
            <rFont val="Tahoma"/>
            <family val="2"/>
          </rPr>
          <t xml:space="preserve">
</t>
        </r>
      </text>
    </comment>
    <comment ref="O34" authorId="0" shapeId="0" xr:uid="{00000000-0006-0000-0F00-000007000000}">
      <text>
        <r>
          <rPr>
            <b/>
            <sz val="9"/>
            <color indexed="81"/>
            <rFont val="Tahoma"/>
            <family val="2"/>
          </rPr>
          <t>&lt;0,05</t>
        </r>
        <r>
          <rPr>
            <sz val="9"/>
            <color indexed="81"/>
            <rFont val="Tahoma"/>
            <family val="2"/>
          </rPr>
          <t xml:space="preserve">
</t>
        </r>
      </text>
    </comment>
    <comment ref="AI34" authorId="0" shapeId="0" xr:uid="{00000000-0006-0000-0F00-000008000000}">
      <text>
        <r>
          <rPr>
            <b/>
            <sz val="9"/>
            <color indexed="81"/>
            <rFont val="Tahoma"/>
            <family val="2"/>
          </rPr>
          <t>&lt;0,03</t>
        </r>
      </text>
    </comment>
    <comment ref="L35" authorId="0" shapeId="0" xr:uid="{00000000-0006-0000-0F00-000009000000}">
      <text>
        <r>
          <rPr>
            <b/>
            <sz val="9"/>
            <color indexed="81"/>
            <rFont val="Tahoma"/>
            <family val="2"/>
          </rPr>
          <t>&lt;0,004</t>
        </r>
      </text>
    </comment>
    <comment ref="M35" authorId="0" shapeId="0" xr:uid="{00000000-0006-0000-0F00-00000A000000}">
      <text>
        <r>
          <rPr>
            <b/>
            <sz val="9"/>
            <color indexed="81"/>
            <rFont val="Tahoma"/>
            <family val="2"/>
          </rPr>
          <t>&lt;0,002</t>
        </r>
        <r>
          <rPr>
            <sz val="9"/>
            <color indexed="81"/>
            <rFont val="Tahoma"/>
            <family val="2"/>
          </rPr>
          <t xml:space="preserve">
</t>
        </r>
      </text>
    </comment>
    <comment ref="O35" authorId="0" shapeId="0" xr:uid="{00000000-0006-0000-0F00-00000B000000}">
      <text>
        <r>
          <rPr>
            <b/>
            <sz val="9"/>
            <color indexed="81"/>
            <rFont val="Tahoma"/>
            <family val="2"/>
          </rPr>
          <t>&lt;0,05</t>
        </r>
        <r>
          <rPr>
            <sz val="9"/>
            <color indexed="81"/>
            <rFont val="Tahoma"/>
            <family val="2"/>
          </rPr>
          <t xml:space="preserve">
</t>
        </r>
      </text>
    </comment>
    <comment ref="AI35" authorId="0" shapeId="0" xr:uid="{00000000-0006-0000-0F00-00000C000000}">
      <text>
        <r>
          <rPr>
            <b/>
            <sz val="9"/>
            <color indexed="81"/>
            <rFont val="Tahoma"/>
            <family val="2"/>
          </rPr>
          <t>&lt;0,03</t>
        </r>
      </text>
    </comment>
    <comment ref="J36" authorId="0" shapeId="0" xr:uid="{00000000-0006-0000-0F00-00000D000000}">
      <text>
        <r>
          <rPr>
            <b/>
            <sz val="9"/>
            <color indexed="81"/>
            <rFont val="Tahoma"/>
            <family val="2"/>
          </rPr>
          <t>&lt;0,1</t>
        </r>
      </text>
    </comment>
    <comment ref="L36" authorId="0" shapeId="0" xr:uid="{00000000-0006-0000-0F00-00000E000000}">
      <text>
        <r>
          <rPr>
            <b/>
            <sz val="9"/>
            <color indexed="81"/>
            <rFont val="Tahoma"/>
            <family val="2"/>
          </rPr>
          <t>&lt;0,004</t>
        </r>
        <r>
          <rPr>
            <sz val="9"/>
            <color indexed="81"/>
            <rFont val="Tahoma"/>
            <family val="2"/>
          </rPr>
          <t xml:space="preserve">
</t>
        </r>
      </text>
    </comment>
    <comment ref="M36" authorId="0" shapeId="0" xr:uid="{00000000-0006-0000-0F00-00000F000000}">
      <text>
        <r>
          <rPr>
            <b/>
            <sz val="9"/>
            <color indexed="81"/>
            <rFont val="Tahoma"/>
            <family val="2"/>
          </rPr>
          <t>&lt;0,002</t>
        </r>
        <r>
          <rPr>
            <sz val="9"/>
            <color indexed="81"/>
            <rFont val="Tahoma"/>
            <family val="2"/>
          </rPr>
          <t xml:space="preserve">
</t>
        </r>
      </text>
    </comment>
    <comment ref="O36" authorId="0" shapeId="0" xr:uid="{00000000-0006-0000-0F00-000010000000}">
      <text>
        <r>
          <rPr>
            <b/>
            <sz val="9"/>
            <color indexed="81"/>
            <rFont val="Tahoma"/>
            <family val="2"/>
          </rPr>
          <t>&lt;0,05</t>
        </r>
        <r>
          <rPr>
            <sz val="9"/>
            <color indexed="81"/>
            <rFont val="Tahoma"/>
            <family val="2"/>
          </rPr>
          <t xml:space="preserve">
</t>
        </r>
      </text>
    </comment>
    <comment ref="AI36" authorId="0" shapeId="0" xr:uid="{00000000-0006-0000-0F00-000011000000}">
      <text>
        <r>
          <rPr>
            <b/>
            <sz val="9"/>
            <color indexed="81"/>
            <rFont val="Tahoma"/>
            <family val="2"/>
          </rPr>
          <t>&lt;0,03</t>
        </r>
      </text>
    </comment>
    <comment ref="L37" authorId="0" shapeId="0" xr:uid="{00000000-0006-0000-0F00-000012000000}">
      <text>
        <r>
          <rPr>
            <b/>
            <sz val="9"/>
            <color indexed="81"/>
            <rFont val="Tahoma"/>
            <family val="2"/>
          </rPr>
          <t>&lt;0,004</t>
        </r>
      </text>
    </comment>
    <comment ref="M37" authorId="0" shapeId="0" xr:uid="{00000000-0006-0000-0F00-000013000000}">
      <text>
        <r>
          <rPr>
            <b/>
            <sz val="9"/>
            <color indexed="81"/>
            <rFont val="Tahoma"/>
            <family val="2"/>
          </rPr>
          <t>&lt;0,002</t>
        </r>
        <r>
          <rPr>
            <sz val="9"/>
            <color indexed="81"/>
            <rFont val="Tahoma"/>
            <family val="2"/>
          </rPr>
          <t xml:space="preserve">
</t>
        </r>
      </text>
    </comment>
    <comment ref="O37" authorId="0" shapeId="0" xr:uid="{00000000-0006-0000-0F00-000014000000}">
      <text>
        <r>
          <rPr>
            <b/>
            <sz val="9"/>
            <color indexed="81"/>
            <rFont val="Tahoma"/>
            <family val="2"/>
          </rPr>
          <t>&lt;0,05</t>
        </r>
        <r>
          <rPr>
            <sz val="9"/>
            <color indexed="81"/>
            <rFont val="Tahoma"/>
            <family val="2"/>
          </rPr>
          <t xml:space="preserve">
</t>
        </r>
      </text>
    </comment>
    <comment ref="AI37" authorId="0" shapeId="0" xr:uid="{00000000-0006-0000-0F00-000015000000}">
      <text>
        <r>
          <rPr>
            <b/>
            <sz val="9"/>
            <color indexed="81"/>
            <rFont val="Tahoma"/>
            <family val="2"/>
          </rPr>
          <t>&lt;0,03</t>
        </r>
      </text>
    </comment>
    <comment ref="L38" authorId="0" shapeId="0" xr:uid="{00000000-0006-0000-0F00-000016000000}">
      <text>
        <r>
          <rPr>
            <b/>
            <sz val="9"/>
            <color indexed="81"/>
            <rFont val="Tahoma"/>
            <family val="2"/>
          </rPr>
          <t>&lt;0,004</t>
        </r>
      </text>
    </comment>
    <comment ref="M38" authorId="0" shapeId="0" xr:uid="{00000000-0006-0000-0F00-000017000000}">
      <text>
        <r>
          <rPr>
            <b/>
            <sz val="9"/>
            <color indexed="81"/>
            <rFont val="Tahoma"/>
            <family val="2"/>
          </rPr>
          <t>&lt;0,002</t>
        </r>
        <r>
          <rPr>
            <sz val="9"/>
            <color indexed="81"/>
            <rFont val="Tahoma"/>
            <family val="2"/>
          </rPr>
          <t xml:space="preserve">
</t>
        </r>
      </text>
    </comment>
    <comment ref="O38" authorId="0" shapeId="0" xr:uid="{00000000-0006-0000-0F00-000018000000}">
      <text>
        <r>
          <rPr>
            <b/>
            <sz val="9"/>
            <color indexed="81"/>
            <rFont val="Tahoma"/>
            <family val="2"/>
          </rPr>
          <t>&lt;0,05</t>
        </r>
        <r>
          <rPr>
            <sz val="9"/>
            <color indexed="81"/>
            <rFont val="Tahoma"/>
            <family val="2"/>
          </rPr>
          <t xml:space="preserve">
</t>
        </r>
      </text>
    </comment>
    <comment ref="AM38" authorId="0" shapeId="0" xr:uid="{00000000-0006-0000-0F00-000019000000}">
      <text>
        <r>
          <rPr>
            <b/>
            <sz val="9"/>
            <color indexed="81"/>
            <rFont val="Tahoma"/>
            <family val="2"/>
          </rPr>
          <t>&lt;0,001</t>
        </r>
      </text>
    </comment>
    <comment ref="L39" authorId="0" shapeId="0" xr:uid="{00000000-0006-0000-0F00-00001A000000}">
      <text>
        <r>
          <rPr>
            <b/>
            <sz val="9"/>
            <color indexed="81"/>
            <rFont val="Tahoma"/>
            <family val="2"/>
          </rPr>
          <t>&lt;0,004</t>
        </r>
      </text>
    </comment>
    <comment ref="M39" authorId="0" shapeId="0" xr:uid="{00000000-0006-0000-0F00-00001B000000}">
      <text>
        <r>
          <rPr>
            <b/>
            <sz val="9"/>
            <color indexed="81"/>
            <rFont val="Tahoma"/>
            <family val="2"/>
          </rPr>
          <t>&lt;0,002</t>
        </r>
        <r>
          <rPr>
            <sz val="9"/>
            <color indexed="81"/>
            <rFont val="Tahoma"/>
            <family val="2"/>
          </rPr>
          <t xml:space="preserve">
</t>
        </r>
      </text>
    </comment>
    <comment ref="O39" authorId="0" shapeId="0" xr:uid="{00000000-0006-0000-0F00-00001C000000}">
      <text>
        <r>
          <rPr>
            <b/>
            <sz val="9"/>
            <color indexed="81"/>
            <rFont val="Tahoma"/>
            <family val="2"/>
          </rPr>
          <t>&lt;0,05</t>
        </r>
        <r>
          <rPr>
            <sz val="9"/>
            <color indexed="81"/>
            <rFont val="Tahoma"/>
            <family val="2"/>
          </rPr>
          <t xml:space="preserve">
</t>
        </r>
      </text>
    </comment>
    <comment ref="V39" authorId="0" shapeId="0" xr:uid="{00000000-0006-0000-0F00-00001D000000}">
      <text>
        <r>
          <rPr>
            <b/>
            <sz val="9"/>
            <color indexed="81"/>
            <rFont val="Tahoma"/>
            <family val="2"/>
          </rPr>
          <t>&lt;0,2</t>
        </r>
      </text>
    </comment>
    <comment ref="AI39" authorId="0" shapeId="0" xr:uid="{00000000-0006-0000-0F00-00001E000000}">
      <text>
        <r>
          <rPr>
            <b/>
            <sz val="9"/>
            <color indexed="81"/>
            <rFont val="Tahoma"/>
            <family val="2"/>
          </rPr>
          <t>&lt;0,03</t>
        </r>
      </text>
    </comment>
    <comment ref="L40" authorId="0" shapeId="0" xr:uid="{00000000-0006-0000-0F00-00001F000000}">
      <text>
        <r>
          <rPr>
            <b/>
            <sz val="9"/>
            <color indexed="81"/>
            <rFont val="Tahoma"/>
            <family val="2"/>
          </rPr>
          <t>&lt;0,004</t>
        </r>
      </text>
    </comment>
    <comment ref="M40" authorId="0" shapeId="0" xr:uid="{00000000-0006-0000-0F00-000020000000}">
      <text>
        <r>
          <rPr>
            <b/>
            <sz val="9"/>
            <color indexed="81"/>
            <rFont val="Tahoma"/>
            <family val="2"/>
          </rPr>
          <t>&lt;0,002</t>
        </r>
        <r>
          <rPr>
            <sz val="9"/>
            <color indexed="81"/>
            <rFont val="Tahoma"/>
            <family val="2"/>
          </rPr>
          <t xml:space="preserve">
</t>
        </r>
      </text>
    </comment>
    <comment ref="O40" authorId="0" shapeId="0" xr:uid="{00000000-0006-0000-0F00-000021000000}">
      <text>
        <r>
          <rPr>
            <b/>
            <sz val="9"/>
            <color indexed="81"/>
            <rFont val="Tahoma"/>
            <family val="2"/>
          </rPr>
          <t>&lt;0,05</t>
        </r>
        <r>
          <rPr>
            <sz val="9"/>
            <color indexed="81"/>
            <rFont val="Tahoma"/>
            <family val="2"/>
          </rPr>
          <t xml:space="preserve">
</t>
        </r>
      </text>
    </comment>
    <comment ref="V40" authorId="0" shapeId="0" xr:uid="{00000000-0006-0000-0F00-000022000000}">
      <text>
        <r>
          <rPr>
            <b/>
            <sz val="9"/>
            <color indexed="81"/>
            <rFont val="Tahoma"/>
            <family val="2"/>
          </rPr>
          <t>&lt;0,2</t>
        </r>
      </text>
    </comment>
    <comment ref="AI40" authorId="0" shapeId="0" xr:uid="{00000000-0006-0000-0F00-000023000000}">
      <text>
        <r>
          <rPr>
            <b/>
            <sz val="9"/>
            <color indexed="81"/>
            <rFont val="Tahoma"/>
            <family val="2"/>
          </rPr>
          <t>&lt;0,03</t>
        </r>
      </text>
    </comment>
    <comment ref="J41" authorId="0" shapeId="0" xr:uid="{00000000-0006-0000-0F00-000024000000}">
      <text>
        <r>
          <rPr>
            <b/>
            <sz val="9"/>
            <color indexed="81"/>
            <rFont val="Tahoma"/>
            <family val="2"/>
          </rPr>
          <t>&lt;0,1</t>
        </r>
      </text>
    </comment>
    <comment ref="L41" authorId="0" shapeId="0" xr:uid="{00000000-0006-0000-0F00-000025000000}">
      <text>
        <r>
          <rPr>
            <b/>
            <sz val="9"/>
            <color indexed="81"/>
            <rFont val="Tahoma"/>
            <family val="2"/>
          </rPr>
          <t>&lt;0,004</t>
        </r>
      </text>
    </comment>
    <comment ref="M41" authorId="0" shapeId="0" xr:uid="{00000000-0006-0000-0F00-000026000000}">
      <text>
        <r>
          <rPr>
            <b/>
            <sz val="9"/>
            <color indexed="81"/>
            <rFont val="Tahoma"/>
            <family val="2"/>
          </rPr>
          <t>&lt;0,002</t>
        </r>
        <r>
          <rPr>
            <sz val="9"/>
            <color indexed="81"/>
            <rFont val="Tahoma"/>
            <family val="2"/>
          </rPr>
          <t xml:space="preserve">
</t>
        </r>
      </text>
    </comment>
    <comment ref="O41" authorId="0" shapeId="0" xr:uid="{00000000-0006-0000-0F00-000027000000}">
      <text>
        <r>
          <rPr>
            <b/>
            <sz val="9"/>
            <color indexed="81"/>
            <rFont val="Tahoma"/>
            <family val="2"/>
          </rPr>
          <t>&lt;0,05</t>
        </r>
        <r>
          <rPr>
            <sz val="9"/>
            <color indexed="81"/>
            <rFont val="Tahoma"/>
            <family val="2"/>
          </rPr>
          <t xml:space="preserve">
</t>
        </r>
      </text>
    </comment>
    <comment ref="V41" authorId="0" shapeId="0" xr:uid="{00000000-0006-0000-0F00-000028000000}">
      <text>
        <r>
          <rPr>
            <b/>
            <sz val="9"/>
            <color indexed="81"/>
            <rFont val="Tahoma"/>
            <family val="2"/>
          </rPr>
          <t>&lt;0,2</t>
        </r>
      </text>
    </comment>
    <comment ref="AI41" authorId="0" shapeId="0" xr:uid="{00000000-0006-0000-0F00-000029000000}">
      <text>
        <r>
          <rPr>
            <b/>
            <sz val="9"/>
            <color indexed="81"/>
            <rFont val="Tahoma"/>
            <family val="2"/>
          </rPr>
          <t>&lt;0,03</t>
        </r>
      </text>
    </comment>
    <comment ref="J42" authorId="0" shapeId="0" xr:uid="{00000000-0006-0000-0F00-00002A000000}">
      <text>
        <r>
          <rPr>
            <b/>
            <sz val="9"/>
            <color indexed="81"/>
            <rFont val="Tahoma"/>
            <family val="2"/>
          </rPr>
          <t>&lt;0,1</t>
        </r>
      </text>
    </comment>
    <comment ref="L42" authorId="0" shapeId="0" xr:uid="{00000000-0006-0000-0F00-00002B000000}">
      <text>
        <r>
          <rPr>
            <b/>
            <sz val="9"/>
            <color indexed="81"/>
            <rFont val="Tahoma"/>
            <family val="2"/>
          </rPr>
          <t>&lt;0,004</t>
        </r>
      </text>
    </comment>
    <comment ref="M42" authorId="0" shapeId="0" xr:uid="{00000000-0006-0000-0F00-00002C000000}">
      <text>
        <r>
          <rPr>
            <b/>
            <sz val="9"/>
            <color indexed="81"/>
            <rFont val="Tahoma"/>
            <family val="2"/>
          </rPr>
          <t>&lt;0,002</t>
        </r>
        <r>
          <rPr>
            <sz val="9"/>
            <color indexed="81"/>
            <rFont val="Tahoma"/>
            <family val="2"/>
          </rPr>
          <t xml:space="preserve">
</t>
        </r>
      </text>
    </comment>
    <comment ref="O42" authorId="0" shapeId="0" xr:uid="{00000000-0006-0000-0F00-00002D000000}">
      <text>
        <r>
          <rPr>
            <b/>
            <sz val="9"/>
            <color indexed="81"/>
            <rFont val="Tahoma"/>
            <family val="2"/>
          </rPr>
          <t>&lt;0,05</t>
        </r>
        <r>
          <rPr>
            <sz val="9"/>
            <color indexed="81"/>
            <rFont val="Tahoma"/>
            <family val="2"/>
          </rPr>
          <t xml:space="preserve">
</t>
        </r>
      </text>
    </comment>
    <comment ref="AI42" authorId="0" shapeId="0" xr:uid="{00000000-0006-0000-0F00-00002E000000}">
      <text>
        <r>
          <rPr>
            <b/>
            <sz val="9"/>
            <color indexed="81"/>
            <rFont val="Tahoma"/>
            <family val="2"/>
          </rPr>
          <t>&lt;0,03</t>
        </r>
      </text>
    </comment>
    <comment ref="L43" authorId="0" shapeId="0" xr:uid="{00000000-0006-0000-0F00-00002F000000}">
      <text>
        <r>
          <rPr>
            <b/>
            <sz val="9"/>
            <color indexed="81"/>
            <rFont val="Tahoma"/>
            <family val="2"/>
          </rPr>
          <t>&lt;0,004</t>
        </r>
      </text>
    </comment>
    <comment ref="M43" authorId="0" shapeId="0" xr:uid="{00000000-0006-0000-0F00-000030000000}">
      <text>
        <r>
          <rPr>
            <b/>
            <sz val="9"/>
            <color indexed="81"/>
            <rFont val="Tahoma"/>
            <family val="2"/>
          </rPr>
          <t>&lt;0,002</t>
        </r>
        <r>
          <rPr>
            <sz val="9"/>
            <color indexed="81"/>
            <rFont val="Tahoma"/>
            <family val="2"/>
          </rPr>
          <t xml:space="preserve">
</t>
        </r>
      </text>
    </comment>
    <comment ref="O43" authorId="0" shapeId="0" xr:uid="{00000000-0006-0000-0F00-000031000000}">
      <text>
        <r>
          <rPr>
            <b/>
            <sz val="9"/>
            <color indexed="81"/>
            <rFont val="Tahoma"/>
            <family val="2"/>
          </rPr>
          <t>&lt;0,05</t>
        </r>
        <r>
          <rPr>
            <sz val="9"/>
            <color indexed="81"/>
            <rFont val="Tahoma"/>
            <family val="2"/>
          </rPr>
          <t xml:space="preserve">
</t>
        </r>
      </text>
    </comment>
    <comment ref="V43" authorId="0" shapeId="0" xr:uid="{00000000-0006-0000-0F00-000032000000}">
      <text>
        <r>
          <rPr>
            <b/>
            <sz val="9"/>
            <color indexed="81"/>
            <rFont val="Tahoma"/>
            <family val="2"/>
          </rPr>
          <t>&lt;0,2</t>
        </r>
      </text>
    </comment>
    <comment ref="AI43" authorId="0" shapeId="0" xr:uid="{00000000-0006-0000-0F00-000033000000}">
      <text>
        <r>
          <rPr>
            <b/>
            <sz val="9"/>
            <color indexed="81"/>
            <rFont val="Tahoma"/>
            <family val="2"/>
          </rPr>
          <t>&lt;0,03</t>
        </r>
      </text>
    </comment>
    <comment ref="H44" authorId="0" shapeId="0" xr:uid="{00000000-0006-0000-0F00-00003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Fuori limite solo perché conteggiata incertezza 90+11</t>
        </r>
      </text>
    </comment>
    <comment ref="L44" authorId="0" shapeId="0" xr:uid="{00000000-0006-0000-0F00-000035000000}">
      <text>
        <r>
          <rPr>
            <b/>
            <sz val="9"/>
            <color indexed="81"/>
            <rFont val="Tahoma"/>
            <family val="2"/>
          </rPr>
          <t>&lt;0,004</t>
        </r>
      </text>
    </comment>
    <comment ref="M44" authorId="0" shapeId="0" xr:uid="{00000000-0006-0000-0F00-000036000000}">
      <text>
        <r>
          <rPr>
            <b/>
            <sz val="9"/>
            <color indexed="81"/>
            <rFont val="Tahoma"/>
            <family val="2"/>
          </rPr>
          <t>&lt;0,002</t>
        </r>
        <r>
          <rPr>
            <sz val="9"/>
            <color indexed="81"/>
            <rFont val="Tahoma"/>
            <family val="2"/>
          </rPr>
          <t xml:space="preserve">
</t>
        </r>
      </text>
    </comment>
    <comment ref="O44" authorId="0" shapeId="0" xr:uid="{00000000-0006-0000-0F00-000037000000}">
      <text>
        <r>
          <rPr>
            <b/>
            <sz val="9"/>
            <color indexed="81"/>
            <rFont val="Tahoma"/>
            <family val="2"/>
          </rPr>
          <t>&lt;0,05</t>
        </r>
        <r>
          <rPr>
            <sz val="9"/>
            <color indexed="81"/>
            <rFont val="Tahoma"/>
            <family val="2"/>
          </rPr>
          <t xml:space="preserve">
</t>
        </r>
      </text>
    </comment>
    <comment ref="AI44" authorId="0" shapeId="0" xr:uid="{00000000-0006-0000-0F00-000038000000}">
      <text>
        <r>
          <rPr>
            <b/>
            <sz val="9"/>
            <color indexed="81"/>
            <rFont val="Tahoma"/>
            <family val="2"/>
          </rPr>
          <t>&lt;0,03</t>
        </r>
      </text>
    </comment>
    <comment ref="J45" authorId="0" shapeId="0" xr:uid="{00000000-0006-0000-0F00-000039000000}">
      <text>
        <r>
          <rPr>
            <b/>
            <sz val="9"/>
            <color indexed="81"/>
            <rFont val="Tahoma"/>
            <family val="2"/>
          </rPr>
          <t>&lt;0,1</t>
        </r>
      </text>
    </comment>
    <comment ref="L45" authorId="0" shapeId="0" xr:uid="{00000000-0006-0000-0F00-00003A000000}">
      <text>
        <r>
          <rPr>
            <b/>
            <sz val="9"/>
            <color indexed="81"/>
            <rFont val="Tahoma"/>
            <family val="2"/>
          </rPr>
          <t>&lt;0,004</t>
        </r>
      </text>
    </comment>
    <comment ref="M45" authorId="0" shapeId="0" xr:uid="{00000000-0006-0000-0F00-00003B000000}">
      <text>
        <r>
          <rPr>
            <b/>
            <sz val="9"/>
            <color indexed="81"/>
            <rFont val="Tahoma"/>
            <family val="2"/>
          </rPr>
          <t>&lt;0,002</t>
        </r>
        <r>
          <rPr>
            <sz val="9"/>
            <color indexed="81"/>
            <rFont val="Tahoma"/>
            <family val="2"/>
          </rPr>
          <t xml:space="preserve">
</t>
        </r>
      </text>
    </comment>
    <comment ref="O45" authorId="0" shapeId="0" xr:uid="{00000000-0006-0000-0F00-00003C000000}">
      <text>
        <r>
          <rPr>
            <b/>
            <sz val="9"/>
            <color indexed="81"/>
            <rFont val="Tahoma"/>
            <family val="2"/>
          </rPr>
          <t>&lt;0,05</t>
        </r>
        <r>
          <rPr>
            <sz val="9"/>
            <color indexed="81"/>
            <rFont val="Tahoma"/>
            <family val="2"/>
          </rPr>
          <t xml:space="preserve">
</t>
        </r>
      </text>
    </comment>
    <comment ref="V45" authorId="0" shapeId="0" xr:uid="{00000000-0006-0000-0F00-00003D000000}">
      <text>
        <r>
          <rPr>
            <b/>
            <sz val="9"/>
            <color indexed="81"/>
            <rFont val="Tahoma"/>
            <family val="2"/>
          </rPr>
          <t>&lt;0,2</t>
        </r>
      </text>
    </comment>
    <comment ref="AI45" authorId="0" shapeId="0" xr:uid="{00000000-0006-0000-0F00-00003E000000}">
      <text>
        <r>
          <rPr>
            <b/>
            <sz val="9"/>
            <color indexed="81"/>
            <rFont val="Tahoma"/>
            <family val="2"/>
          </rPr>
          <t>&lt;0,03</t>
        </r>
      </text>
    </comment>
    <comment ref="AM45" authorId="0" shapeId="0" xr:uid="{00000000-0006-0000-0F00-00003F000000}">
      <text>
        <r>
          <rPr>
            <b/>
            <sz val="9"/>
            <color indexed="81"/>
            <rFont val="Tahoma"/>
            <family val="2"/>
          </rPr>
          <t>&lt;0,001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L8" authorId="0" shapeId="0" xr:uid="{00000000-0006-0000-1000-000001000000}">
      <text>
        <r>
          <rPr>
            <b/>
            <sz val="9"/>
            <color indexed="81"/>
            <rFont val="Tahoma"/>
            <family val="2"/>
          </rPr>
          <t>&lt;0,01</t>
        </r>
        <r>
          <rPr>
            <sz val="9"/>
            <color indexed="81"/>
            <rFont val="Tahoma"/>
            <family val="2"/>
          </rPr>
          <t xml:space="preserve">
</t>
        </r>
      </text>
    </comment>
    <comment ref="M8" authorId="0" shapeId="0" xr:uid="{00000000-0006-0000-1000-000002000000}">
      <text>
        <r>
          <rPr>
            <b/>
            <sz val="9"/>
            <color indexed="81"/>
            <rFont val="Tahoma"/>
            <family val="2"/>
          </rPr>
          <t>&lt;0,01</t>
        </r>
        <r>
          <rPr>
            <sz val="9"/>
            <color indexed="81"/>
            <rFont val="Tahoma"/>
            <family val="2"/>
          </rPr>
          <t xml:space="preserve">
</t>
        </r>
      </text>
    </comment>
    <comment ref="O8" authorId="0" shapeId="0" xr:uid="{00000000-0006-0000-1000-000003000000}">
      <text>
        <r>
          <rPr>
            <b/>
            <sz val="9"/>
            <color indexed="81"/>
            <rFont val="Tahoma"/>
            <family val="2"/>
          </rPr>
          <t>&lt;0,03</t>
        </r>
      </text>
    </comment>
    <comment ref="Q8" authorId="0" shapeId="0" xr:uid="{00000000-0006-0000-1000-000004000000}">
      <text>
        <r>
          <rPr>
            <b/>
            <sz val="9"/>
            <color indexed="81"/>
            <rFont val="Tahoma"/>
            <family val="2"/>
          </rPr>
          <t>&lt;0,02</t>
        </r>
        <r>
          <rPr>
            <sz val="9"/>
            <color indexed="81"/>
            <rFont val="Tahoma"/>
            <family val="2"/>
          </rPr>
          <t xml:space="preserve">
</t>
        </r>
      </text>
    </comment>
    <comment ref="S8" authorId="0" shapeId="0" xr:uid="{00000000-0006-0000-1000-000005000000}">
      <text>
        <r>
          <rPr>
            <b/>
            <sz val="9"/>
            <color indexed="81"/>
            <rFont val="Tahoma"/>
            <family val="2"/>
          </rPr>
          <t>&lt;0,02</t>
        </r>
        <r>
          <rPr>
            <sz val="9"/>
            <color indexed="81"/>
            <rFont val="Tahoma"/>
            <family val="2"/>
          </rPr>
          <t xml:space="preserve">
</t>
        </r>
      </text>
    </comment>
    <comment ref="X8" authorId="0" shapeId="0" xr:uid="{00000000-0006-0000-1000-000006000000}">
      <text>
        <r>
          <rPr>
            <b/>
            <sz val="9"/>
            <color indexed="81"/>
            <rFont val="Tahoma"/>
            <family val="2"/>
          </rPr>
          <t>&lt;0,20</t>
        </r>
        <r>
          <rPr>
            <sz val="9"/>
            <color indexed="81"/>
            <rFont val="Tahoma"/>
            <family val="2"/>
          </rPr>
          <t xml:space="preserve">
</t>
        </r>
      </text>
    </comment>
    <comment ref="L9" authorId="0" shapeId="0" xr:uid="{00000000-0006-0000-1000-000007000000}">
      <text>
        <r>
          <rPr>
            <b/>
            <sz val="9"/>
            <color indexed="81"/>
            <rFont val="Tahoma"/>
            <family val="2"/>
          </rPr>
          <t>&lt;0,01</t>
        </r>
        <r>
          <rPr>
            <sz val="9"/>
            <color indexed="81"/>
            <rFont val="Tahoma"/>
            <family val="2"/>
          </rPr>
          <t xml:space="preserve">
</t>
        </r>
      </text>
    </comment>
    <comment ref="M9" authorId="0" shapeId="0" xr:uid="{00000000-0006-0000-1000-000008000000}">
      <text>
        <r>
          <rPr>
            <b/>
            <sz val="9"/>
            <color indexed="81"/>
            <rFont val="Tahoma"/>
            <family val="2"/>
          </rPr>
          <t>&lt;0,01</t>
        </r>
        <r>
          <rPr>
            <sz val="9"/>
            <color indexed="81"/>
            <rFont val="Tahoma"/>
            <family val="2"/>
          </rPr>
          <t xml:space="preserve">
</t>
        </r>
      </text>
    </comment>
    <comment ref="O9" authorId="0" shapeId="0" xr:uid="{00000000-0006-0000-1000-000009000000}">
      <text>
        <r>
          <rPr>
            <b/>
            <sz val="9"/>
            <color indexed="81"/>
            <rFont val="Tahoma"/>
            <family val="2"/>
          </rPr>
          <t>&lt;0,03</t>
        </r>
      </text>
    </comment>
    <comment ref="Q9" authorId="0" shapeId="0" xr:uid="{00000000-0006-0000-1000-00000A000000}">
      <text>
        <r>
          <rPr>
            <b/>
            <sz val="9"/>
            <color indexed="81"/>
            <rFont val="Tahoma"/>
            <family val="2"/>
          </rPr>
          <t>&lt;0,02</t>
        </r>
        <r>
          <rPr>
            <sz val="9"/>
            <color indexed="81"/>
            <rFont val="Tahoma"/>
            <family val="2"/>
          </rPr>
          <t xml:space="preserve">
</t>
        </r>
      </text>
    </comment>
    <comment ref="S9" authorId="0" shapeId="0" xr:uid="{00000000-0006-0000-1000-00000B000000}">
      <text>
        <r>
          <rPr>
            <b/>
            <sz val="9"/>
            <color indexed="81"/>
            <rFont val="Tahoma"/>
            <family val="2"/>
          </rPr>
          <t>&lt;0,02</t>
        </r>
        <r>
          <rPr>
            <sz val="9"/>
            <color indexed="81"/>
            <rFont val="Tahoma"/>
            <family val="2"/>
          </rPr>
          <t xml:space="preserve">
</t>
        </r>
      </text>
    </comment>
    <comment ref="X9" authorId="0" shapeId="0" xr:uid="{00000000-0006-0000-1000-00000C000000}">
      <text>
        <r>
          <rPr>
            <b/>
            <sz val="9"/>
            <color indexed="81"/>
            <rFont val="Tahoma"/>
            <family val="2"/>
          </rPr>
          <t>&lt;0,20</t>
        </r>
        <r>
          <rPr>
            <sz val="9"/>
            <color indexed="81"/>
            <rFont val="Tahoma"/>
            <family val="2"/>
          </rPr>
          <t xml:space="preserve">
</t>
        </r>
      </text>
    </comment>
    <comment ref="L10" authorId="0" shapeId="0" xr:uid="{00000000-0006-0000-1000-00000D000000}">
      <text>
        <r>
          <rPr>
            <b/>
            <sz val="9"/>
            <color indexed="81"/>
            <rFont val="Tahoma"/>
            <family val="2"/>
          </rPr>
          <t>&lt;0,01</t>
        </r>
        <r>
          <rPr>
            <sz val="9"/>
            <color indexed="81"/>
            <rFont val="Tahoma"/>
            <family val="2"/>
          </rPr>
          <t xml:space="preserve">
</t>
        </r>
      </text>
    </comment>
    <comment ref="Q10" authorId="0" shapeId="0" xr:uid="{00000000-0006-0000-1000-00000E000000}">
      <text>
        <r>
          <rPr>
            <b/>
            <sz val="9"/>
            <color indexed="81"/>
            <rFont val="Tahoma"/>
            <family val="2"/>
          </rPr>
          <t>&lt;0,02</t>
        </r>
        <r>
          <rPr>
            <sz val="9"/>
            <color indexed="81"/>
            <rFont val="Tahoma"/>
            <family val="2"/>
          </rPr>
          <t xml:space="preserve">
</t>
        </r>
      </text>
    </comment>
    <comment ref="S10" authorId="0" shapeId="0" xr:uid="{00000000-0006-0000-1000-00000F000000}">
      <text>
        <r>
          <rPr>
            <b/>
            <sz val="9"/>
            <color indexed="81"/>
            <rFont val="Tahoma"/>
            <family val="2"/>
          </rPr>
          <t>&lt;0,02</t>
        </r>
        <r>
          <rPr>
            <sz val="9"/>
            <color indexed="81"/>
            <rFont val="Tahoma"/>
            <family val="2"/>
          </rPr>
          <t xml:space="preserve">
</t>
        </r>
      </text>
    </comment>
    <comment ref="X10" authorId="0" shapeId="0" xr:uid="{00000000-0006-0000-1000-000010000000}">
      <text>
        <r>
          <rPr>
            <b/>
            <sz val="9"/>
            <color indexed="81"/>
            <rFont val="Tahoma"/>
            <family val="2"/>
          </rPr>
          <t>&lt;0,20</t>
        </r>
        <r>
          <rPr>
            <sz val="9"/>
            <color indexed="81"/>
            <rFont val="Tahoma"/>
            <family val="2"/>
          </rPr>
          <t xml:space="preserve">
</t>
        </r>
      </text>
    </comment>
    <comment ref="L11" authorId="0" shapeId="0" xr:uid="{00000000-0006-0000-1000-000011000000}">
      <text>
        <r>
          <rPr>
            <b/>
            <sz val="9"/>
            <color indexed="81"/>
            <rFont val="Tahoma"/>
            <family val="2"/>
          </rPr>
          <t>&lt;0,01</t>
        </r>
        <r>
          <rPr>
            <sz val="9"/>
            <color indexed="81"/>
            <rFont val="Tahoma"/>
            <family val="2"/>
          </rPr>
          <t xml:space="preserve">
</t>
        </r>
      </text>
    </comment>
    <comment ref="M11" authorId="0" shapeId="0" xr:uid="{00000000-0006-0000-1000-000012000000}">
      <text>
        <r>
          <rPr>
            <b/>
            <sz val="9"/>
            <color indexed="81"/>
            <rFont val="Tahoma"/>
            <family val="2"/>
          </rPr>
          <t>&lt;0,01</t>
        </r>
        <r>
          <rPr>
            <sz val="9"/>
            <color indexed="81"/>
            <rFont val="Tahoma"/>
            <family val="2"/>
          </rPr>
          <t xml:space="preserve">
</t>
        </r>
      </text>
    </comment>
    <comment ref="Q11" authorId="0" shapeId="0" xr:uid="{00000000-0006-0000-1000-000013000000}">
      <text>
        <r>
          <rPr>
            <b/>
            <sz val="9"/>
            <color indexed="81"/>
            <rFont val="Tahoma"/>
            <family val="2"/>
          </rPr>
          <t>&lt;0,02</t>
        </r>
        <r>
          <rPr>
            <sz val="9"/>
            <color indexed="81"/>
            <rFont val="Tahoma"/>
            <family val="2"/>
          </rPr>
          <t xml:space="preserve">
</t>
        </r>
      </text>
    </comment>
    <comment ref="S11" authorId="0" shapeId="0" xr:uid="{00000000-0006-0000-1000-000014000000}">
      <text>
        <r>
          <rPr>
            <b/>
            <sz val="9"/>
            <color indexed="81"/>
            <rFont val="Tahoma"/>
            <family val="2"/>
          </rPr>
          <t>&lt;0,02</t>
        </r>
        <r>
          <rPr>
            <sz val="9"/>
            <color indexed="81"/>
            <rFont val="Tahoma"/>
            <family val="2"/>
          </rPr>
          <t xml:space="preserve">
</t>
        </r>
      </text>
    </comment>
    <comment ref="X11" authorId="0" shapeId="0" xr:uid="{00000000-0006-0000-1000-000015000000}">
      <text>
        <r>
          <rPr>
            <b/>
            <sz val="9"/>
            <color indexed="81"/>
            <rFont val="Tahoma"/>
            <family val="2"/>
          </rPr>
          <t>&lt;0,20</t>
        </r>
        <r>
          <rPr>
            <sz val="9"/>
            <color indexed="81"/>
            <rFont val="Tahoma"/>
            <family val="2"/>
          </rPr>
          <t xml:space="preserve">
</t>
        </r>
      </text>
    </comment>
    <comment ref="AB11" authorId="0" shapeId="0" xr:uid="{00000000-0006-0000-1000-000016000000}">
      <text>
        <r>
          <rPr>
            <b/>
            <sz val="9"/>
            <color indexed="81"/>
            <rFont val="Tahoma"/>
            <family val="2"/>
          </rPr>
          <t>&lt;1</t>
        </r>
      </text>
    </comment>
    <comment ref="L12" authorId="0" shapeId="0" xr:uid="{00000000-0006-0000-1000-000017000000}">
      <text>
        <r>
          <rPr>
            <b/>
            <sz val="9"/>
            <color indexed="81"/>
            <rFont val="Tahoma"/>
            <family val="2"/>
          </rPr>
          <t>&lt;0,01</t>
        </r>
        <r>
          <rPr>
            <sz val="9"/>
            <color indexed="81"/>
            <rFont val="Tahoma"/>
            <family val="2"/>
          </rPr>
          <t xml:space="preserve">
</t>
        </r>
      </text>
    </comment>
    <comment ref="M12" authorId="0" shapeId="0" xr:uid="{00000000-0006-0000-1000-000018000000}">
      <text>
        <r>
          <rPr>
            <b/>
            <sz val="9"/>
            <color indexed="81"/>
            <rFont val="Tahoma"/>
            <family val="2"/>
          </rPr>
          <t>&lt;0,01</t>
        </r>
        <r>
          <rPr>
            <sz val="9"/>
            <color indexed="81"/>
            <rFont val="Tahoma"/>
            <family val="2"/>
          </rPr>
          <t xml:space="preserve">
</t>
        </r>
      </text>
    </comment>
    <comment ref="Q12" authorId="0" shapeId="0" xr:uid="{00000000-0006-0000-1000-000019000000}">
      <text>
        <r>
          <rPr>
            <b/>
            <sz val="9"/>
            <color indexed="81"/>
            <rFont val="Tahoma"/>
            <family val="2"/>
          </rPr>
          <t>&lt;0,02</t>
        </r>
        <r>
          <rPr>
            <sz val="9"/>
            <color indexed="81"/>
            <rFont val="Tahoma"/>
            <family val="2"/>
          </rPr>
          <t xml:space="preserve">
</t>
        </r>
      </text>
    </comment>
    <comment ref="S12" authorId="0" shapeId="0" xr:uid="{00000000-0006-0000-1000-00001A000000}">
      <text>
        <r>
          <rPr>
            <b/>
            <sz val="9"/>
            <color indexed="81"/>
            <rFont val="Tahoma"/>
            <family val="2"/>
          </rPr>
          <t>&lt;0,02</t>
        </r>
        <r>
          <rPr>
            <sz val="9"/>
            <color indexed="81"/>
            <rFont val="Tahoma"/>
            <family val="2"/>
          </rPr>
          <t xml:space="preserve">
</t>
        </r>
      </text>
    </comment>
    <comment ref="X12" authorId="0" shapeId="0" xr:uid="{00000000-0006-0000-1000-00001B000000}">
      <text>
        <r>
          <rPr>
            <b/>
            <sz val="9"/>
            <color indexed="81"/>
            <rFont val="Tahoma"/>
            <family val="2"/>
          </rPr>
          <t>&lt;0,20</t>
        </r>
        <r>
          <rPr>
            <sz val="9"/>
            <color indexed="81"/>
            <rFont val="Tahoma"/>
            <family val="2"/>
          </rPr>
          <t xml:space="preserve">
</t>
        </r>
      </text>
    </comment>
    <comment ref="L13" authorId="0" shapeId="0" xr:uid="{00000000-0006-0000-1000-00001C000000}">
      <text>
        <r>
          <rPr>
            <b/>
            <sz val="9"/>
            <color indexed="81"/>
            <rFont val="Tahoma"/>
            <family val="2"/>
          </rPr>
          <t>&lt;0,01</t>
        </r>
        <r>
          <rPr>
            <sz val="9"/>
            <color indexed="81"/>
            <rFont val="Tahoma"/>
            <family val="2"/>
          </rPr>
          <t xml:space="preserve">
</t>
        </r>
      </text>
    </comment>
    <comment ref="M13" authorId="0" shapeId="0" xr:uid="{00000000-0006-0000-1000-00001D000000}">
      <text>
        <r>
          <rPr>
            <b/>
            <sz val="9"/>
            <color indexed="81"/>
            <rFont val="Tahoma"/>
            <family val="2"/>
          </rPr>
          <t>&lt;0,01</t>
        </r>
        <r>
          <rPr>
            <sz val="9"/>
            <color indexed="81"/>
            <rFont val="Tahoma"/>
            <family val="2"/>
          </rPr>
          <t xml:space="preserve">
</t>
        </r>
      </text>
    </comment>
    <comment ref="Q13" authorId="0" shapeId="0" xr:uid="{00000000-0006-0000-1000-00001E000000}">
      <text>
        <r>
          <rPr>
            <b/>
            <sz val="9"/>
            <color indexed="81"/>
            <rFont val="Tahoma"/>
            <family val="2"/>
          </rPr>
          <t>&lt;0,01</t>
        </r>
        <r>
          <rPr>
            <sz val="9"/>
            <color indexed="81"/>
            <rFont val="Tahoma"/>
            <family val="2"/>
          </rPr>
          <t xml:space="preserve">
</t>
        </r>
      </text>
    </comment>
    <comment ref="S13" authorId="0" shapeId="0" xr:uid="{00000000-0006-0000-1000-00001F000000}">
      <text>
        <r>
          <rPr>
            <b/>
            <sz val="9"/>
            <color indexed="81"/>
            <rFont val="Tahoma"/>
            <family val="2"/>
          </rPr>
          <t>&lt;0,02</t>
        </r>
        <r>
          <rPr>
            <sz val="9"/>
            <color indexed="81"/>
            <rFont val="Tahoma"/>
            <family val="2"/>
          </rPr>
          <t xml:space="preserve">
</t>
        </r>
      </text>
    </comment>
    <comment ref="X13" authorId="0" shapeId="0" xr:uid="{00000000-0006-0000-1000-000020000000}">
      <text>
        <r>
          <rPr>
            <b/>
            <sz val="9"/>
            <color indexed="81"/>
            <rFont val="Tahoma"/>
            <family val="2"/>
          </rPr>
          <t>&lt;0,20</t>
        </r>
        <r>
          <rPr>
            <sz val="9"/>
            <color indexed="81"/>
            <rFont val="Tahoma"/>
            <family val="2"/>
          </rPr>
          <t xml:space="preserve">
</t>
        </r>
      </text>
    </comment>
    <comment ref="L14" authorId="0" shapeId="0" xr:uid="{00000000-0006-0000-1000-000021000000}">
      <text>
        <r>
          <rPr>
            <b/>
            <sz val="9"/>
            <color indexed="81"/>
            <rFont val="Tahoma"/>
            <family val="2"/>
          </rPr>
          <t>&lt;0,01</t>
        </r>
        <r>
          <rPr>
            <sz val="9"/>
            <color indexed="81"/>
            <rFont val="Tahoma"/>
            <family val="2"/>
          </rPr>
          <t xml:space="preserve">
</t>
        </r>
      </text>
    </comment>
    <comment ref="Q14" authorId="0" shapeId="0" xr:uid="{00000000-0006-0000-1000-000022000000}">
      <text>
        <r>
          <rPr>
            <b/>
            <sz val="9"/>
            <color indexed="81"/>
            <rFont val="Tahoma"/>
            <family val="2"/>
          </rPr>
          <t>&lt;0,02</t>
        </r>
        <r>
          <rPr>
            <sz val="9"/>
            <color indexed="81"/>
            <rFont val="Tahoma"/>
            <family val="2"/>
          </rPr>
          <t xml:space="preserve">
</t>
        </r>
      </text>
    </comment>
    <comment ref="S14" authorId="0" shapeId="0" xr:uid="{00000000-0006-0000-1000-000023000000}">
      <text>
        <r>
          <rPr>
            <b/>
            <sz val="9"/>
            <color indexed="81"/>
            <rFont val="Tahoma"/>
            <family val="2"/>
          </rPr>
          <t>&lt;0,02</t>
        </r>
        <r>
          <rPr>
            <sz val="9"/>
            <color indexed="81"/>
            <rFont val="Tahoma"/>
            <family val="2"/>
          </rPr>
          <t xml:space="preserve">
</t>
        </r>
      </text>
    </comment>
    <comment ref="X14" authorId="0" shapeId="0" xr:uid="{00000000-0006-0000-1000-000024000000}">
      <text>
        <r>
          <rPr>
            <b/>
            <sz val="9"/>
            <color indexed="81"/>
            <rFont val="Tahoma"/>
            <family val="2"/>
          </rPr>
          <t>&lt;0,20</t>
        </r>
        <r>
          <rPr>
            <sz val="9"/>
            <color indexed="81"/>
            <rFont val="Tahoma"/>
            <family val="2"/>
          </rPr>
          <t xml:space="preserve">
</t>
        </r>
      </text>
    </comment>
    <comment ref="M15" authorId="0" shapeId="0" xr:uid="{00000000-0006-0000-1000-000025000000}">
      <text>
        <r>
          <rPr>
            <b/>
            <sz val="9"/>
            <color indexed="81"/>
            <rFont val="Tahoma"/>
            <family val="2"/>
          </rPr>
          <t>&lt;0,01</t>
        </r>
        <r>
          <rPr>
            <sz val="9"/>
            <color indexed="81"/>
            <rFont val="Tahoma"/>
            <family val="2"/>
          </rPr>
          <t xml:space="preserve">
</t>
        </r>
      </text>
    </comment>
    <comment ref="Q15" authorId="0" shapeId="0" xr:uid="{00000000-0006-0000-1000-000026000000}">
      <text>
        <r>
          <rPr>
            <b/>
            <sz val="9"/>
            <color indexed="81"/>
            <rFont val="Tahoma"/>
            <family val="2"/>
          </rPr>
          <t>&lt;0,02</t>
        </r>
        <r>
          <rPr>
            <sz val="9"/>
            <color indexed="81"/>
            <rFont val="Tahoma"/>
            <family val="2"/>
          </rPr>
          <t xml:space="preserve">
</t>
        </r>
      </text>
    </comment>
    <comment ref="S15" authorId="0" shapeId="0" xr:uid="{00000000-0006-0000-1000-000027000000}">
      <text>
        <r>
          <rPr>
            <b/>
            <sz val="9"/>
            <color indexed="81"/>
            <rFont val="Tahoma"/>
            <family val="2"/>
          </rPr>
          <t>&lt;0,02</t>
        </r>
        <r>
          <rPr>
            <sz val="9"/>
            <color indexed="81"/>
            <rFont val="Tahoma"/>
            <family val="2"/>
          </rPr>
          <t xml:space="preserve">
</t>
        </r>
      </text>
    </comment>
    <comment ref="X15" authorId="0" shapeId="0" xr:uid="{00000000-0006-0000-1000-000028000000}">
      <text>
        <r>
          <rPr>
            <b/>
            <sz val="9"/>
            <color indexed="81"/>
            <rFont val="Tahoma"/>
            <family val="2"/>
          </rPr>
          <t>&lt;0,20</t>
        </r>
        <r>
          <rPr>
            <sz val="9"/>
            <color indexed="81"/>
            <rFont val="Tahoma"/>
            <family val="2"/>
          </rPr>
          <t xml:space="preserve">
</t>
        </r>
      </text>
    </comment>
    <comment ref="L16" authorId="0" shapeId="0" xr:uid="{00000000-0006-0000-1000-000029000000}">
      <text>
        <r>
          <rPr>
            <b/>
            <sz val="9"/>
            <color indexed="81"/>
            <rFont val="Tahoma"/>
            <family val="2"/>
          </rPr>
          <t>&lt;0,01</t>
        </r>
        <r>
          <rPr>
            <sz val="9"/>
            <color indexed="81"/>
            <rFont val="Tahoma"/>
            <family val="2"/>
          </rPr>
          <t xml:space="preserve">
</t>
        </r>
      </text>
    </comment>
    <comment ref="M16" authorId="0" shapeId="0" xr:uid="{00000000-0006-0000-1000-00002A000000}">
      <text>
        <r>
          <rPr>
            <b/>
            <sz val="9"/>
            <color indexed="81"/>
            <rFont val="Tahoma"/>
            <family val="2"/>
          </rPr>
          <t>&lt;0,01</t>
        </r>
        <r>
          <rPr>
            <sz val="9"/>
            <color indexed="81"/>
            <rFont val="Tahoma"/>
            <family val="2"/>
          </rPr>
          <t xml:space="preserve">
</t>
        </r>
      </text>
    </comment>
    <comment ref="Q16" authorId="0" shapeId="0" xr:uid="{00000000-0006-0000-1000-00002B000000}">
      <text>
        <r>
          <rPr>
            <b/>
            <sz val="9"/>
            <color indexed="81"/>
            <rFont val="Tahoma"/>
            <family val="2"/>
          </rPr>
          <t>&lt;0,02</t>
        </r>
        <r>
          <rPr>
            <sz val="9"/>
            <color indexed="81"/>
            <rFont val="Tahoma"/>
            <family val="2"/>
          </rPr>
          <t xml:space="preserve">
</t>
        </r>
      </text>
    </comment>
    <comment ref="S16" authorId="0" shapeId="0" xr:uid="{00000000-0006-0000-1000-00002C000000}">
      <text>
        <r>
          <rPr>
            <b/>
            <sz val="9"/>
            <color indexed="81"/>
            <rFont val="Tahoma"/>
            <family val="2"/>
          </rPr>
          <t>&lt;0,02</t>
        </r>
        <r>
          <rPr>
            <sz val="9"/>
            <color indexed="81"/>
            <rFont val="Tahoma"/>
            <family val="2"/>
          </rPr>
          <t xml:space="preserve">
</t>
        </r>
      </text>
    </comment>
    <comment ref="L17" authorId="0" shapeId="0" xr:uid="{00000000-0006-0000-1000-00002D000000}">
      <text>
        <r>
          <rPr>
            <b/>
            <sz val="9"/>
            <color indexed="81"/>
            <rFont val="Tahoma"/>
            <family val="2"/>
          </rPr>
          <t>&lt;0,01</t>
        </r>
        <r>
          <rPr>
            <sz val="9"/>
            <color indexed="81"/>
            <rFont val="Tahoma"/>
            <family val="2"/>
          </rPr>
          <t xml:space="preserve">
</t>
        </r>
      </text>
    </comment>
    <comment ref="M17" authorId="0" shapeId="0" xr:uid="{00000000-0006-0000-1000-00002E000000}">
      <text>
        <r>
          <rPr>
            <b/>
            <sz val="9"/>
            <color indexed="81"/>
            <rFont val="Tahoma"/>
            <family val="2"/>
          </rPr>
          <t>&lt;0,01</t>
        </r>
        <r>
          <rPr>
            <sz val="9"/>
            <color indexed="81"/>
            <rFont val="Tahoma"/>
            <family val="2"/>
          </rPr>
          <t xml:space="preserve">
</t>
        </r>
      </text>
    </comment>
    <comment ref="Q17" authorId="0" shapeId="0" xr:uid="{00000000-0006-0000-1000-00002F000000}">
      <text>
        <r>
          <rPr>
            <b/>
            <sz val="9"/>
            <color indexed="81"/>
            <rFont val="Tahoma"/>
            <family val="2"/>
          </rPr>
          <t>&lt;0,01</t>
        </r>
        <r>
          <rPr>
            <sz val="9"/>
            <color indexed="81"/>
            <rFont val="Tahoma"/>
            <family val="2"/>
          </rPr>
          <t xml:space="preserve">
</t>
        </r>
      </text>
    </comment>
    <comment ref="S17" authorId="0" shapeId="0" xr:uid="{00000000-0006-0000-1000-000030000000}">
      <text>
        <r>
          <rPr>
            <b/>
            <sz val="9"/>
            <color indexed="81"/>
            <rFont val="Tahoma"/>
            <family val="2"/>
          </rPr>
          <t>&lt;0,02</t>
        </r>
        <r>
          <rPr>
            <sz val="9"/>
            <color indexed="81"/>
            <rFont val="Tahoma"/>
            <family val="2"/>
          </rPr>
          <t xml:space="preserve">
</t>
        </r>
      </text>
    </comment>
    <comment ref="X17" authorId="0" shapeId="0" xr:uid="{00000000-0006-0000-1000-000031000000}">
      <text>
        <r>
          <rPr>
            <b/>
            <sz val="9"/>
            <color indexed="81"/>
            <rFont val="Tahoma"/>
            <family val="2"/>
          </rPr>
          <t>&lt;0,20</t>
        </r>
        <r>
          <rPr>
            <sz val="9"/>
            <color indexed="81"/>
            <rFont val="Tahoma"/>
            <family val="2"/>
          </rPr>
          <t xml:space="preserve">
</t>
        </r>
      </text>
    </comment>
    <comment ref="L18" authorId="0" shapeId="0" xr:uid="{00000000-0006-0000-1000-000032000000}">
      <text>
        <r>
          <rPr>
            <b/>
            <sz val="9"/>
            <color indexed="81"/>
            <rFont val="Tahoma"/>
            <family val="2"/>
          </rPr>
          <t>&lt;0,01</t>
        </r>
        <r>
          <rPr>
            <sz val="9"/>
            <color indexed="81"/>
            <rFont val="Tahoma"/>
            <family val="2"/>
          </rPr>
          <t xml:space="preserve">
</t>
        </r>
      </text>
    </comment>
    <comment ref="M18" authorId="0" shapeId="0" xr:uid="{00000000-0006-0000-1000-000033000000}">
      <text>
        <r>
          <rPr>
            <b/>
            <sz val="9"/>
            <color indexed="81"/>
            <rFont val="Tahoma"/>
            <family val="2"/>
          </rPr>
          <t>&lt;0,01</t>
        </r>
        <r>
          <rPr>
            <sz val="9"/>
            <color indexed="81"/>
            <rFont val="Tahoma"/>
            <family val="2"/>
          </rPr>
          <t xml:space="preserve">
</t>
        </r>
      </text>
    </comment>
    <comment ref="Q18" authorId="0" shapeId="0" xr:uid="{00000000-0006-0000-1000-000034000000}">
      <text>
        <r>
          <rPr>
            <b/>
            <sz val="9"/>
            <color indexed="81"/>
            <rFont val="Tahoma"/>
            <family val="2"/>
          </rPr>
          <t>&lt;0,01</t>
        </r>
        <r>
          <rPr>
            <sz val="9"/>
            <color indexed="81"/>
            <rFont val="Tahoma"/>
            <family val="2"/>
          </rPr>
          <t xml:space="preserve">
</t>
        </r>
      </text>
    </comment>
    <comment ref="S18" authorId="0" shapeId="0" xr:uid="{00000000-0006-0000-1000-000035000000}">
      <text>
        <r>
          <rPr>
            <b/>
            <sz val="9"/>
            <color indexed="81"/>
            <rFont val="Tahoma"/>
            <family val="2"/>
          </rPr>
          <t>&lt;0,02</t>
        </r>
        <r>
          <rPr>
            <sz val="9"/>
            <color indexed="81"/>
            <rFont val="Tahoma"/>
            <family val="2"/>
          </rPr>
          <t xml:space="preserve">
</t>
        </r>
      </text>
    </comment>
    <comment ref="X18" authorId="0" shapeId="0" xr:uid="{00000000-0006-0000-1000-000036000000}">
      <text>
        <r>
          <rPr>
            <b/>
            <sz val="9"/>
            <color indexed="81"/>
            <rFont val="Tahoma"/>
            <family val="2"/>
          </rPr>
          <t>&lt;0,20</t>
        </r>
        <r>
          <rPr>
            <sz val="9"/>
            <color indexed="81"/>
            <rFont val="Tahoma"/>
            <family val="2"/>
          </rPr>
          <t xml:space="preserve">
</t>
        </r>
      </text>
    </comment>
    <comment ref="L19" authorId="0" shapeId="0" xr:uid="{00000000-0006-0000-1000-000037000000}">
      <text>
        <r>
          <rPr>
            <b/>
            <sz val="9"/>
            <color indexed="81"/>
            <rFont val="Tahoma"/>
            <family val="2"/>
          </rPr>
          <t>&lt;0,01</t>
        </r>
        <r>
          <rPr>
            <sz val="9"/>
            <color indexed="81"/>
            <rFont val="Tahoma"/>
            <family val="2"/>
          </rPr>
          <t xml:space="preserve">
</t>
        </r>
      </text>
    </comment>
    <comment ref="M19" authorId="0" shapeId="0" xr:uid="{00000000-0006-0000-1000-000038000000}">
      <text>
        <r>
          <rPr>
            <b/>
            <sz val="9"/>
            <color indexed="81"/>
            <rFont val="Tahoma"/>
            <family val="2"/>
          </rPr>
          <t>&lt;0,01</t>
        </r>
        <r>
          <rPr>
            <sz val="9"/>
            <color indexed="81"/>
            <rFont val="Tahoma"/>
            <family val="2"/>
          </rPr>
          <t xml:space="preserve">
</t>
        </r>
      </text>
    </comment>
    <comment ref="Q19" authorId="0" shapeId="0" xr:uid="{00000000-0006-0000-1000-000039000000}">
      <text>
        <r>
          <rPr>
            <b/>
            <sz val="9"/>
            <color indexed="81"/>
            <rFont val="Tahoma"/>
            <family val="2"/>
          </rPr>
          <t>&lt;0,01</t>
        </r>
        <r>
          <rPr>
            <sz val="9"/>
            <color indexed="81"/>
            <rFont val="Tahoma"/>
            <family val="2"/>
          </rPr>
          <t xml:space="preserve">
</t>
        </r>
      </text>
    </comment>
    <comment ref="S19" authorId="0" shapeId="0" xr:uid="{00000000-0006-0000-1000-00003A000000}">
      <text>
        <r>
          <rPr>
            <b/>
            <sz val="9"/>
            <color indexed="81"/>
            <rFont val="Tahoma"/>
            <family val="2"/>
          </rPr>
          <t>&lt;0,01</t>
        </r>
        <r>
          <rPr>
            <sz val="9"/>
            <color indexed="81"/>
            <rFont val="Tahoma"/>
            <family val="2"/>
          </rPr>
          <t xml:space="preserve">
</t>
        </r>
      </text>
    </comment>
    <comment ref="L20" authorId="0" shapeId="0" xr:uid="{00000000-0006-0000-1000-00003B000000}">
      <text>
        <r>
          <rPr>
            <b/>
            <sz val="9"/>
            <color indexed="81"/>
            <rFont val="Tahoma"/>
            <family val="2"/>
          </rPr>
          <t>&lt;0,01</t>
        </r>
        <r>
          <rPr>
            <sz val="9"/>
            <color indexed="81"/>
            <rFont val="Tahoma"/>
            <family val="2"/>
          </rPr>
          <t xml:space="preserve">
</t>
        </r>
      </text>
    </comment>
    <comment ref="M20" authorId="0" shapeId="0" xr:uid="{00000000-0006-0000-1000-00003C000000}">
      <text>
        <r>
          <rPr>
            <b/>
            <sz val="9"/>
            <color indexed="81"/>
            <rFont val="Tahoma"/>
            <family val="2"/>
          </rPr>
          <t>&lt;0,01</t>
        </r>
        <r>
          <rPr>
            <sz val="9"/>
            <color indexed="81"/>
            <rFont val="Tahoma"/>
            <family val="2"/>
          </rPr>
          <t xml:space="preserve">
</t>
        </r>
      </text>
    </comment>
    <comment ref="Q20" authorId="0" shapeId="0" xr:uid="{00000000-0006-0000-1000-00003D000000}">
      <text>
        <r>
          <rPr>
            <b/>
            <sz val="9"/>
            <color indexed="81"/>
            <rFont val="Tahoma"/>
            <family val="2"/>
          </rPr>
          <t>&lt;0,01</t>
        </r>
        <r>
          <rPr>
            <sz val="9"/>
            <color indexed="81"/>
            <rFont val="Tahoma"/>
            <family val="2"/>
          </rPr>
          <t xml:space="preserve">
</t>
        </r>
      </text>
    </comment>
    <comment ref="S20" authorId="0" shapeId="0" xr:uid="{00000000-0006-0000-1000-00003E000000}">
      <text>
        <r>
          <rPr>
            <b/>
            <sz val="9"/>
            <color indexed="81"/>
            <rFont val="Tahoma"/>
            <family val="2"/>
          </rPr>
          <t>&lt;0,02</t>
        </r>
        <r>
          <rPr>
            <sz val="9"/>
            <color indexed="81"/>
            <rFont val="Tahoma"/>
            <family val="2"/>
          </rPr>
          <t xml:space="preserve">
</t>
        </r>
      </text>
    </comment>
  </commentList>
</comments>
</file>

<file path=xl/sharedStrings.xml><?xml version="1.0" encoding="utf-8"?>
<sst xmlns="http://schemas.openxmlformats.org/spreadsheetml/2006/main" count="3106" uniqueCount="821">
  <si>
    <t>Tab. 1</t>
  </si>
  <si>
    <t>Materie prime e prodotti ausiliari</t>
  </si>
  <si>
    <t>Nome commerciale</t>
  </si>
  <si>
    <t>Modalità di stoccaggio</t>
  </si>
  <si>
    <t>Composizione componente principale</t>
  </si>
  <si>
    <t>Fase di utilizzo</t>
  </si>
  <si>
    <t>Metodo misura</t>
  </si>
  <si>
    <t>Frequenza</t>
  </si>
  <si>
    <t>Modalità di registrazione</t>
  </si>
  <si>
    <t>Lane sucide/pettinate</t>
  </si>
  <si>
    <t>Magazzino materie prime (edificio tintoria)</t>
  </si>
  <si>
    <t>Fibra naturale lana</t>
  </si>
  <si>
    <t>Ciclo completo produzione tessuto</t>
  </si>
  <si>
    <t>Solido</t>
  </si>
  <si>
    <t>Peso</t>
  </si>
  <si>
    <t>tonnellate</t>
  </si>
  <si>
    <t>Annuale</t>
  </si>
  <si>
    <t>Reporting (dati aggregati annuali)</t>
  </si>
  <si>
    <t>Filati d’acquisto</t>
  </si>
  <si>
    <t>Magazzino semilavorati filati (edificio tessitura)</t>
  </si>
  <si>
    <t>Fibre naturali di varia tipologia</t>
  </si>
  <si>
    <t>Coloranti tops</t>
  </si>
  <si>
    <t>Area deposito reparto tintoria</t>
  </si>
  <si>
    <t>Coloranti sintetici</t>
  </si>
  <si>
    <t>Tintura del nastro (tops)</t>
  </si>
  <si>
    <t>Polvere</t>
  </si>
  <si>
    <t>kg</t>
  </si>
  <si>
    <t>Reporting (dato singolo prodotto)</t>
  </si>
  <si>
    <t>Coloranti pezze</t>
  </si>
  <si>
    <t>Tintura del tessuto</t>
  </si>
  <si>
    <t>Coloranti stampa</t>
  </si>
  <si>
    <t>Tintura del nastro (stampa Vigoureux)</t>
  </si>
  <si>
    <t>Liquido</t>
  </si>
  <si>
    <t>Ausiliari tintoria</t>
  </si>
  <si>
    <t>Ausiliari sintetici</t>
  </si>
  <si>
    <t>Tintura</t>
  </si>
  <si>
    <t>Ausiliari filatura</t>
  </si>
  <si>
    <t>Area deposito magazzino filatura</t>
  </si>
  <si>
    <t>Filatura</t>
  </si>
  <si>
    <t>Ausiliari finissaggio</t>
  </si>
  <si>
    <t>Aree deposito reparto finissaggio</t>
  </si>
  <si>
    <t>Finissaggio e Depurazione acque</t>
  </si>
  <si>
    <t>Stato fisico</t>
  </si>
  <si>
    <t>Quantità consumata</t>
  </si>
  <si>
    <t>Anno di riferimento</t>
  </si>
  <si>
    <t xml:space="preserve">Tab. 2 </t>
  </si>
  <si>
    <t>Rifiuti in ingresso</t>
  </si>
  <si>
    <t xml:space="preserve">Denominazione </t>
  </si>
  <si>
    <t xml:space="preserve">EER </t>
  </si>
  <si>
    <t>Modalità di controllo e di analisi</t>
  </si>
  <si>
    <t xml:space="preserve">Metodo misura </t>
  </si>
  <si>
    <t xml:space="preserve">Frequenza </t>
  </si>
  <si>
    <t>NON PERTINENTE</t>
  </si>
  <si>
    <t>NP/P Frasi di rischio</t>
  </si>
  <si>
    <t xml:space="preserve">Tab. 3 </t>
  </si>
  <si>
    <t>EoW/MPS/Sottoprodotti in ingresso</t>
  </si>
  <si>
    <t xml:space="preserve">Materia prima sostituita </t>
  </si>
  <si>
    <t xml:space="preserve">Metodo di misura </t>
  </si>
  <si>
    <t>Impianto di provenienza</t>
  </si>
  <si>
    <t xml:space="preserve">Tab. 4 </t>
  </si>
  <si>
    <t>Prodotti finiti</t>
  </si>
  <si>
    <t xml:space="preserve">Stato fisico </t>
  </si>
  <si>
    <t>Fase di produzione</t>
  </si>
  <si>
    <t>Tessuto per drapperia formale</t>
  </si>
  <si>
    <t>Magazzino prodotto finito (edificio finissaggio)</t>
  </si>
  <si>
    <t>Misura della lunghezza per vendita al metro lineare</t>
  </si>
  <si>
    <t>Stoccaggio al termine del finissaggio</t>
  </si>
  <si>
    <t xml:space="preserve">Annuale </t>
  </si>
  <si>
    <t>Reporting (dati singola pezza)</t>
  </si>
  <si>
    <t>Quantità rifiuto trattato
t (solidi)/m3 (liquidi)</t>
  </si>
  <si>
    <t>Quantità in ingresso
t (solidi)/m3 (liquidi)</t>
  </si>
  <si>
    <t>Quantità in uscita</t>
  </si>
  <si>
    <t>metri</t>
  </si>
  <si>
    <t xml:space="preserve">Tab. 4b </t>
  </si>
  <si>
    <t>Sottoprodotti/End Of Waste</t>
  </si>
  <si>
    <t>Sito di stoccaggio</t>
  </si>
  <si>
    <t xml:space="preserve">Destinazione finale </t>
  </si>
  <si>
    <t>Sottoprodotti tessili</t>
  </si>
  <si>
    <t>Magazzino sottoprodotti (edificio servizi generali)</t>
  </si>
  <si>
    <t>Da tutte le fasi intermedie del ciclo completo produzione tessuto</t>
  </si>
  <si>
    <t>Ragione sociale destinatari</t>
  </si>
  <si>
    <t>5.1 MATERIE PRIME, RIFIUTI IN INGRESSO, EOW/MPS/SOTTOPRODOTTI E PRODOTTI FINITI</t>
  </si>
  <si>
    <t>In ingresso</t>
  </si>
  <si>
    <t>In uscita</t>
  </si>
  <si>
    <t>5.2 CONTROLLO RADIOMETRICO</t>
  </si>
  <si>
    <t>Tab. 5</t>
  </si>
  <si>
    <t>Materiale in ingresso e uscita</t>
  </si>
  <si>
    <t>Materiale controllato</t>
  </si>
  <si>
    <t xml:space="preserve">Modalità di controllo </t>
  </si>
  <si>
    <t>Punto di misura/ Frequenza</t>
  </si>
  <si>
    <t>Data rilievo anomalia</t>
  </si>
  <si>
    <t xml:space="preserve">Lotto di riferimento </t>
  </si>
  <si>
    <t>5.3 CONSUMO RISORSE IDRICHE</t>
  </si>
  <si>
    <t>Tab. 6</t>
  </si>
  <si>
    <t>Risorse idriche</t>
  </si>
  <si>
    <t xml:space="preserve">Punto di misura </t>
  </si>
  <si>
    <t xml:space="preserve">Destinazione </t>
  </si>
  <si>
    <t>Metodo di misura</t>
  </si>
  <si>
    <t>Fonte di approvvigionamento
(Pozzo, acquedotto, recupero interno, ecc)</t>
  </si>
  <si>
    <t xml:space="preserve">Acquedotto comunale </t>
  </si>
  <si>
    <t>Servizi di stabilimento</t>
  </si>
  <si>
    <t>Igienico sanitario</t>
  </si>
  <si>
    <t>Contatori singole utenze</t>
  </si>
  <si>
    <t>Consumo umano</t>
  </si>
  <si>
    <t xml:space="preserve">Lettura contatore </t>
  </si>
  <si>
    <t xml:space="preserve">Industriale </t>
  </si>
  <si>
    <t xml:space="preserve">Contatori </t>
  </si>
  <si>
    <t xml:space="preserve">Produzione </t>
  </si>
  <si>
    <t>Tipologia
(industriale, civile, raffreddamento, ecc.)</t>
  </si>
  <si>
    <t>Produzione
Antincendio</t>
  </si>
  <si>
    <t>Derivazione acquesuperficiali 
(n° 3)</t>
  </si>
  <si>
    <t>Gallerie drenanti 
(n° 3)</t>
  </si>
  <si>
    <t>Pozzi 
(n° 7)
[prelievo sia da falda freatica che da artesiana]</t>
  </si>
  <si>
    <t xml:space="preserve">Sorgenti 
(n° 3) </t>
  </si>
  <si>
    <t>Recupero acqua depurata da ultrafiltrazione 
(n° 2)</t>
  </si>
  <si>
    <t>Unità di misura</t>
  </si>
  <si>
    <t>Quantità prelevata</t>
  </si>
  <si>
    <t>Prelievo oggetto di concessione</t>
  </si>
  <si>
    <t>-</t>
  </si>
  <si>
    <t>5.4 RISORSE ENERGETICHE</t>
  </si>
  <si>
    <t>Energia</t>
  </si>
  <si>
    <t>Tab. 7</t>
  </si>
  <si>
    <t>Descrizione</t>
  </si>
  <si>
    <t>Ciclo produttivo completo</t>
  </si>
  <si>
    <t>Ciclo produttivo completo e riscaldamento</t>
  </si>
  <si>
    <t>Surplus rispetto fabbisogni</t>
  </si>
  <si>
    <t>Energia elettrica importata da rete esterna</t>
  </si>
  <si>
    <t>Energia autoprodotta da impianto fotovoltaico in copertura</t>
  </si>
  <si>
    <t>Energia termica</t>
  </si>
  <si>
    <t>Energia elettrica immessa in rete da impianto fotovoltaico in copertura</t>
  </si>
  <si>
    <t>Consumo</t>
  </si>
  <si>
    <t>Produzione</t>
  </si>
  <si>
    <t>Contatori</t>
  </si>
  <si>
    <t>Mensile</t>
  </si>
  <si>
    <t>MWh</t>
  </si>
  <si>
    <t>kWh</t>
  </si>
  <si>
    <t>Metano</t>
  </si>
  <si>
    <t>Gasolio da riscaldamento</t>
  </si>
  <si>
    <t>Gasolio da autotrazione</t>
  </si>
  <si>
    <t>Produzione vapore e riscaldamento</t>
  </si>
  <si>
    <t>Combustibile di riserva per produzione vapore e riscaldamento</t>
  </si>
  <si>
    <t>Camion aziendali</t>
  </si>
  <si>
    <t>Contatore volumetrico nel PDR</t>
  </si>
  <si>
    <t>Livello elettronico (telemetria) nel serbatoio di accumulo</t>
  </si>
  <si>
    <t>Contatore volumetrico nella pompa di erogazione</t>
  </si>
  <si>
    <t>Reporting (dati aggregati mensili)</t>
  </si>
  <si>
    <t>Tab. 8</t>
  </si>
  <si>
    <t>Combustibili</t>
  </si>
  <si>
    <t>Punto di emissione</t>
  </si>
  <si>
    <t>Rilievo discontinuo/continuo</t>
  </si>
  <si>
    <t>Metodi di misura</t>
  </si>
  <si>
    <t>Eventuale parametro indiretto</t>
  </si>
  <si>
    <t>FIN1</t>
  </si>
  <si>
    <t>Bruciapelo</t>
  </si>
  <si>
    <t>Discontinuo</t>
  </si>
  <si>
    <t>Campionamento strumentale</t>
  </si>
  <si>
    <t>Triennale</t>
  </si>
  <si>
    <t>Reporting (dati aggregati triennali)</t>
  </si>
  <si>
    <t>FIN3</t>
  </si>
  <si>
    <t>FIN4</t>
  </si>
  <si>
    <t>FIN5</t>
  </si>
  <si>
    <t>TIN1</t>
  </si>
  <si>
    <t>5.5 COMBUSTIBILI</t>
  </si>
  <si>
    <t>5.6.1 INQUINANTI MONITORATI IN ARIA CONVOGLIATE</t>
  </si>
  <si>
    <t>Tab. 9</t>
  </si>
  <si>
    <t>TIN2</t>
  </si>
  <si>
    <t>TIN3</t>
  </si>
  <si>
    <t>CT01</t>
  </si>
  <si>
    <t>CT02</t>
  </si>
  <si>
    <t>CT03</t>
  </si>
  <si>
    <t>CT04</t>
  </si>
  <si>
    <t>Data campionamento</t>
  </si>
  <si>
    <t>Rapporto di prova</t>
  </si>
  <si>
    <t>Parametro/Inquinante</t>
  </si>
  <si>
    <t>22LA33797</t>
  </si>
  <si>
    <t>22LA33798</t>
  </si>
  <si>
    <t>22LA33799</t>
  </si>
  <si>
    <t>22LA33800</t>
  </si>
  <si>
    <t>23LA48660</t>
  </si>
  <si>
    <t>23LA48661</t>
  </si>
  <si>
    <t>23LA48662</t>
  </si>
  <si>
    <t>23LA48663</t>
  </si>
  <si>
    <t>24LA54129</t>
  </si>
  <si>
    <t>24LA54130</t>
  </si>
  <si>
    <t>24LA54131</t>
  </si>
  <si>
    <t>24LA54132</t>
  </si>
  <si>
    <t>22LA34001</t>
  </si>
  <si>
    <t>22LA34000</t>
  </si>
  <si>
    <t>22LA33999</t>
  </si>
  <si>
    <t>Termofissaggio 
(elettrofiltro ad umido)</t>
  </si>
  <si>
    <t>Essiccazione a temperatura inferiore a 150 °C 
(Rameuse 1 del ‘96)</t>
  </si>
  <si>
    <t>Essiccazione a temperatura inferiore a 150 °C 
(Rameuse 2 del ‘23)</t>
  </si>
  <si>
    <t>Essiccazione a temperatura inferiore a 150 °C 
(Camino 1 – Lisciatrice)</t>
  </si>
  <si>
    <t>Essiccazione a temperatura inferiore a 150 °C 
(Camino 2 – Lisciatrice)</t>
  </si>
  <si>
    <t>Essiccazione a temperatura inferiore a 150 °C 
(Camino 3 – Lisciatrice)</t>
  </si>
  <si>
    <t>Impianti di combustione con potenza termica &lt; 50 
(Generatore di vapore 1)</t>
  </si>
  <si>
    <t>Impianti di combustione con potenza termica &lt; 50 
(Generatore di vapore 2)</t>
  </si>
  <si>
    <t>Impianti di combustione con potenza termica &lt; 50 
(Generatore di vapore 3)</t>
  </si>
  <si>
    <t>Impianti di combustione con potenza termica &lt; 50 
(Generatore di vapore 4)</t>
  </si>
  <si>
    <t>N/A</t>
  </si>
  <si>
    <t>22LA40225</t>
  </si>
  <si>
    <t>22LA33801</t>
  </si>
  <si>
    <t>Tab. 10</t>
  </si>
  <si>
    <t>Punto emissione</t>
  </si>
  <si>
    <t>Fase produttiva</t>
  </si>
  <si>
    <t>Sistema di abbattimento</t>
  </si>
  <si>
    <t>Parti soggette a manutenzione</t>
  </si>
  <si>
    <t>Modalità di controllo e Frequenza di controllo</t>
  </si>
  <si>
    <t>Documentazione di riferimento</t>
  </si>
  <si>
    <t>Termico rigenerativo a tre torri ceramiche</t>
  </si>
  <si>
    <t>Valvole, letto ceramico, rampa gas, ventilatori, sensori</t>
  </si>
  <si>
    <t>Ispezione visiva e regolarità operativa quotidiane</t>
  </si>
  <si>
    <t>Manuale d’uso e manutenzione impianto</t>
  </si>
  <si>
    <t>Registro elettronico SIM (Sistema Informativo Manutenzione)</t>
  </si>
  <si>
    <t>Elettrofiltro ad umido</t>
  </si>
  <si>
    <t>Trasformatore alta tensione, valvole, ugelli, ventilatore, sensori</t>
  </si>
  <si>
    <t>Termofissaggio</t>
  </si>
  <si>
    <t>5.6.2 EMISSIONI DIFFUSE</t>
  </si>
  <si>
    <t>Tab. 11</t>
  </si>
  <si>
    <t>Emissioni diffuse</t>
  </si>
  <si>
    <t xml:space="preserve">Fase di produzione </t>
  </si>
  <si>
    <t xml:space="preserve">Prevenzione </t>
  </si>
  <si>
    <t xml:space="preserve">Punto di prelievo </t>
  </si>
  <si>
    <t xml:space="preserve">Parametro </t>
  </si>
  <si>
    <t xml:space="preserve">Metodi di misura </t>
  </si>
  <si>
    <t>5.6.3 EMISSIONI ODORIGENE</t>
  </si>
  <si>
    <t>Tab. 11b</t>
  </si>
  <si>
    <t>Emissioni odorigene</t>
  </si>
  <si>
    <t xml:space="preserve">Descrizione </t>
  </si>
  <si>
    <t>Dispositivi/modalità di gestione per il contenimento degli odori</t>
  </si>
  <si>
    <t xml:space="preserve">Punti sorgente emissiva </t>
  </si>
  <si>
    <t>5.7 SCARICHI IDRICI</t>
  </si>
  <si>
    <t>5.7.1 INQUINANTI MONITORATI ALL'INGRESSO DEL DEPURATORE</t>
  </si>
  <si>
    <t>Tab. 12</t>
  </si>
  <si>
    <t>Ingresso impianto di depurazione</t>
  </si>
  <si>
    <t>Punto di prelievo</t>
  </si>
  <si>
    <t>Parametro</t>
  </si>
  <si>
    <t>Reporting</t>
  </si>
  <si>
    <r>
      <t>pH</t>
    </r>
    <r>
      <rPr>
        <b/>
        <sz val="11"/>
        <color rgb="FFFF0000"/>
        <rFont val="Calibri"/>
        <family val="2"/>
        <scheme val="minor"/>
      </rPr>
      <t/>
    </r>
  </si>
  <si>
    <t xml:space="preserve">335/24 </t>
  </si>
  <si>
    <t>Tab. 13</t>
  </si>
  <si>
    <t>Uscita depuratore</t>
  </si>
  <si>
    <t>5.7.2 INQUINANTI MONITORATI ALL'USCITA DEL DEPURATORE</t>
  </si>
  <si>
    <t>n.p.</t>
  </si>
  <si>
    <t>n.r.</t>
  </si>
  <si>
    <t>Colore</t>
  </si>
  <si>
    <t>Trimestrale</t>
  </si>
  <si>
    <t>Dafnia
%</t>
  </si>
  <si>
    <t>Batteri luminescenti
%</t>
  </si>
  <si>
    <t xml:space="preserve">Alghe
% </t>
  </si>
  <si>
    <t>pH</t>
  </si>
  <si>
    <t>338/24</t>
  </si>
  <si>
    <t>Tab. 14</t>
  </si>
  <si>
    <t>Gestione impianto di depurazione</t>
  </si>
  <si>
    <t>Sezione di trattamento</t>
  </si>
  <si>
    <t>Elementi caratteristici di ciascuno sezione</t>
  </si>
  <si>
    <t>Dispositivi di controllo</t>
  </si>
  <si>
    <t>Punti di controllo del corretto funzionamento</t>
  </si>
  <si>
    <t>Modalità di controllo e relativa frequenza</t>
  </si>
  <si>
    <t>Modalità di registrazione/ conservazione dati</t>
  </si>
  <si>
    <t xml:space="preserve">Impianto biologico </t>
  </si>
  <si>
    <t xml:space="preserve">pH </t>
  </si>
  <si>
    <t xml:space="preserve">Analizzatore pH </t>
  </si>
  <si>
    <t xml:space="preserve">Vasca di equalizzazione </t>
  </si>
  <si>
    <t xml:space="preserve">Misurazione continua </t>
  </si>
  <si>
    <t xml:space="preserve">Schema di flusso impianto biologico </t>
  </si>
  <si>
    <t>Registratore continuo</t>
  </si>
  <si>
    <t>Impianto biologico</t>
  </si>
  <si>
    <t>Portata di alimentazione</t>
  </si>
  <si>
    <t>Misuratore elettromagnetico</t>
  </si>
  <si>
    <t xml:space="preserve">Mandata pompe di alimentazione </t>
  </si>
  <si>
    <t>Portata di ricircolo fanghi</t>
  </si>
  <si>
    <t xml:space="preserve">Mandata pompe di ricircolo fanghi </t>
  </si>
  <si>
    <t xml:space="preserve">Portata di ricircolo dei nitrati </t>
  </si>
  <si>
    <t xml:space="preserve">Misuratore US </t>
  </si>
  <si>
    <t xml:space="preserve">Mandata pompe di ricircolo nitrati </t>
  </si>
  <si>
    <t xml:space="preserve">DO </t>
  </si>
  <si>
    <t xml:space="preserve">Analizzatore DO </t>
  </si>
  <si>
    <t xml:space="preserve">Vasca di ossidazione </t>
  </si>
  <si>
    <t xml:space="preserve">ORP </t>
  </si>
  <si>
    <t xml:space="preserve">Vasca di denitrificazione </t>
  </si>
  <si>
    <t xml:space="preserve">Nitrati </t>
  </si>
  <si>
    <t xml:space="preserve">Uscita finale </t>
  </si>
  <si>
    <t xml:space="preserve">Torbidità </t>
  </si>
  <si>
    <t xml:space="preserve">Analizzatore torbidità </t>
  </si>
  <si>
    <t>TSS vasca ossidazione</t>
  </si>
  <si>
    <t xml:space="preserve">Analisi laboratorio </t>
  </si>
  <si>
    <t>Vasca di ossidazione</t>
  </si>
  <si>
    <t>Campionamento e misurazione IRSA – cadenza mensile</t>
  </si>
  <si>
    <t xml:space="preserve">Rapporto di prova </t>
  </si>
  <si>
    <t xml:space="preserve">Impianto MBR 1 </t>
  </si>
  <si>
    <t xml:space="preserve">Portata di filtrazione </t>
  </si>
  <si>
    <t xml:space="preserve">Schema di flusso impianto MBR </t>
  </si>
  <si>
    <t>Pressione transmembrana TMP</t>
  </si>
  <si>
    <t>Trasmettitore di pressione</t>
  </si>
  <si>
    <t xml:space="preserve">Aspirazione pompe di filtrazione </t>
  </si>
  <si>
    <t xml:space="preserve">Impianto MBR 2 </t>
  </si>
  <si>
    <t xml:space="preserve">Impianto MBR 1+2 </t>
  </si>
  <si>
    <t>Analizzatore torbidità</t>
  </si>
  <si>
    <t xml:space="preserve">Uscita finale (pompe di rilancio a stabilimento) </t>
  </si>
  <si>
    <t xml:space="preserve">Conducibilità </t>
  </si>
  <si>
    <t>Analizzatore conducibilità</t>
  </si>
  <si>
    <t xml:space="preserve">Analizzatore ORP </t>
  </si>
  <si>
    <t xml:space="preserve">Analizzatore NO3 </t>
  </si>
  <si>
    <t>Rifiuti in uscita</t>
  </si>
  <si>
    <t>5.9 RIFIUTI PRODOTTI</t>
  </si>
  <si>
    <t>Indicazione operazione di smaltimento/ recupero a cui sono destinati</t>
  </si>
  <si>
    <t>P/NP</t>
  </si>
  <si>
    <t xml:space="preserve">Rifiuti da fibre tessili lavorate </t>
  </si>
  <si>
    <t xml:space="preserve">04 02 22 </t>
  </si>
  <si>
    <t xml:space="preserve">Container </t>
  </si>
  <si>
    <t xml:space="preserve">Tutto lo stabilimento </t>
  </si>
  <si>
    <t xml:space="preserve">R13 </t>
  </si>
  <si>
    <t>NP</t>
  </si>
  <si>
    <t>Peso verificato a destino</t>
  </si>
  <si>
    <t xml:space="preserve">kg </t>
  </si>
  <si>
    <t>Soluzioni acquose di lavaggio ed acque madri</t>
  </si>
  <si>
    <t xml:space="preserve">07 07 01* </t>
  </si>
  <si>
    <t xml:space="preserve">Cubo </t>
  </si>
  <si>
    <t xml:space="preserve">D9 </t>
  </si>
  <si>
    <t>Scarti di olio minerale per motori, ingranaggi e lubrificazione, non clorurati</t>
  </si>
  <si>
    <t xml:space="preserve">13 02 05* </t>
  </si>
  <si>
    <t xml:space="preserve">Fusto </t>
  </si>
  <si>
    <t>R13</t>
  </si>
  <si>
    <t xml:space="preserve">Altri solventi e miscele di solventi </t>
  </si>
  <si>
    <t xml:space="preserve">14 06 03* </t>
  </si>
  <si>
    <t xml:space="preserve">Imballaggi in carta e cartone </t>
  </si>
  <si>
    <t xml:space="preserve">15 01 01 </t>
  </si>
  <si>
    <t xml:space="preserve">Imballaggi in plastica </t>
  </si>
  <si>
    <t xml:space="preserve">15 01 02 </t>
  </si>
  <si>
    <t xml:space="preserve">R03 </t>
  </si>
  <si>
    <t xml:space="preserve">Imballaggi in legno </t>
  </si>
  <si>
    <t xml:space="preserve">15 01 03 </t>
  </si>
  <si>
    <t xml:space="preserve">Imballaggi in materiali misti </t>
  </si>
  <si>
    <t xml:space="preserve">15 01 06 </t>
  </si>
  <si>
    <t>Imballaggi contenenti residui di sostanze pericolose o contaminati da tali sostanze</t>
  </si>
  <si>
    <t xml:space="preserve">15 01 10* </t>
  </si>
  <si>
    <t>Imballaggi metallici contenenti matrici solide porose pericolose (ad esempio amianto), compresi i contenitori a pressione vuoti</t>
  </si>
  <si>
    <t xml:space="preserve">15 01 11* </t>
  </si>
  <si>
    <t xml:space="preserve">Big bag </t>
  </si>
  <si>
    <t>HP03</t>
  </si>
  <si>
    <t xml:space="preserve">15 02 02* </t>
  </si>
  <si>
    <t>Assorbenti, materiali filtranti, stracci e indumenti protettivi, diversi da quelli di cui alla voce 15 02 02</t>
  </si>
  <si>
    <t xml:space="preserve">15 02 03 </t>
  </si>
  <si>
    <t>Apparecchiature fuori uso, diverse da quelle di cui alle voci da 16 02 09 a 16 02 13</t>
  </si>
  <si>
    <t xml:space="preserve">16 02 14 </t>
  </si>
  <si>
    <t xml:space="preserve">Alla rinfusa </t>
  </si>
  <si>
    <t>Componenti rimossi da apparecchiature fuori uso, diversi da quelli di cui alla voce 16 02 15</t>
  </si>
  <si>
    <t xml:space="preserve">16 02 16 </t>
  </si>
  <si>
    <t xml:space="preserve">16 06 02* </t>
  </si>
  <si>
    <t xml:space="preserve">Scatola </t>
  </si>
  <si>
    <t xml:space="preserve">Batterie alcaline (tranne 16 06 03) </t>
  </si>
  <si>
    <t xml:space="preserve">16 06 04 </t>
  </si>
  <si>
    <t xml:space="preserve">Altre batterie ed accumulatori </t>
  </si>
  <si>
    <t xml:space="preserve">16 06 05 </t>
  </si>
  <si>
    <t xml:space="preserve">Vetro </t>
  </si>
  <si>
    <t xml:space="preserve">17 02 02 </t>
  </si>
  <si>
    <t>Vetro, plastica e legno contenenti sostanze pericolose o da esse contaminati</t>
  </si>
  <si>
    <t xml:space="preserve">17 02 04* </t>
  </si>
  <si>
    <t xml:space="preserve">D13 </t>
  </si>
  <si>
    <t xml:space="preserve">Ferro e acciaio </t>
  </si>
  <si>
    <t xml:space="preserve">17 04 05 </t>
  </si>
  <si>
    <t>Cavi, diversi da quelli di cui alla voce 17 04 10</t>
  </si>
  <si>
    <t xml:space="preserve">17 04 11 </t>
  </si>
  <si>
    <t xml:space="preserve">17 06 03* </t>
  </si>
  <si>
    <t xml:space="preserve">D15 </t>
  </si>
  <si>
    <t>Rifiuti misti dell'attività di costruzione e demolizione, diversi da quelli di cui alle voci 17 09 01, 1709 02 e 17 09 03</t>
  </si>
  <si>
    <t xml:space="preserve">17 09 04 </t>
  </si>
  <si>
    <t>Tubi fluorescenti ed altri rifiuti contenenti mercurio</t>
  </si>
  <si>
    <t xml:space="preserve">20 01 21* </t>
  </si>
  <si>
    <t>5.10 SUOLO E ACQUE SOTTERRANEE</t>
  </si>
  <si>
    <t>Tab. 15</t>
  </si>
  <si>
    <t>Suolo</t>
  </si>
  <si>
    <t>Modalità di controllo</t>
  </si>
  <si>
    <t>U.M.</t>
  </si>
  <si>
    <t>Acque sotterranee</t>
  </si>
  <si>
    <t>Tab. 16</t>
  </si>
  <si>
    <t>Tab. 17</t>
  </si>
  <si>
    <t>396/24</t>
  </si>
  <si>
    <t>399/24</t>
  </si>
  <si>
    <t>Ar-208-24</t>
  </si>
  <si>
    <t>n.p. 1:40</t>
  </si>
  <si>
    <t>Quantità prodotta
2023</t>
  </si>
  <si>
    <t>HP03 HP04</t>
  </si>
  <si>
    <t>HP04 HP05 HP14</t>
  </si>
  <si>
    <t>HP05 HP08 HP13 HP14</t>
  </si>
  <si>
    <t>HP06 HP14</t>
  </si>
  <si>
    <t>HP04 HP07</t>
  </si>
  <si>
    <t>HP05 HP06 HP14</t>
  </si>
  <si>
    <t>04 02 20</t>
  </si>
  <si>
    <t>13 03 08*</t>
  </si>
  <si>
    <t>08 01 11*</t>
  </si>
  <si>
    <t>16 02 11*</t>
  </si>
  <si>
    <t>16 02 13*</t>
  </si>
  <si>
    <t>16 03 03*</t>
  </si>
  <si>
    <t>16 03 04</t>
  </si>
  <si>
    <t>16 03 05*</t>
  </si>
  <si>
    <t>16 03 06</t>
  </si>
  <si>
    <t xml:space="preserve">Batterie al nichel cadmio </t>
  </si>
  <si>
    <t>16 06 01*</t>
  </si>
  <si>
    <t>16 10 01*</t>
  </si>
  <si>
    <t>Quantità prodotta
2024</t>
  </si>
  <si>
    <t>16 05 05</t>
  </si>
  <si>
    <t>Fanghi prodotti dal trattamento in loco degli effluenti, diversi da quelli di cui alla voce 04 02 19</t>
  </si>
  <si>
    <t>D09</t>
  </si>
  <si>
    <t>Pitture e vernici di scarto, contenenti solventi organici o altre sostanze pericolose</t>
  </si>
  <si>
    <t>Oli sintetici isolanti e oli termoconduttori</t>
  </si>
  <si>
    <t>Apparecchiature fuori uso, contenenti clorofluorocarburi, HCFC, HFC</t>
  </si>
  <si>
    <t>HP14</t>
  </si>
  <si>
    <t>Apparecchiature fuori uso, contenenti componenti pericolosi diversi da quelli di cui alle voci 16 02 09 e 16 02 12</t>
  </si>
  <si>
    <t>Rifiuti inorganici contenenti sostanze pericolose</t>
  </si>
  <si>
    <t>HP04 HP13</t>
  </si>
  <si>
    <t>Rifiuti inorganici, diversi da quelli di cui alla voce 16 03 03</t>
  </si>
  <si>
    <t>D13/D15</t>
  </si>
  <si>
    <t>HP05 HP06 HP07 HP13/
HP04 HP14 / 
HP04 HP13 HP14</t>
  </si>
  <si>
    <t>Rifiuti organici contenenti sostanze pericolose</t>
  </si>
  <si>
    <t>Rifiuti organici, diversi da quelli di cui alla voce 16 03 05</t>
  </si>
  <si>
    <t>D14</t>
  </si>
  <si>
    <t>Gas in contenitori a pressione, diversi da quelli di cui alla voce 16 05 04</t>
  </si>
  <si>
    <t>Batterie al piombo</t>
  </si>
  <si>
    <t>HP05 HP06 HP08 HP10 HP14</t>
  </si>
  <si>
    <t>Rifiuti liquidi acquosi, contenenti sostanze pericolose</t>
  </si>
  <si>
    <t>7378/2024</t>
  </si>
  <si>
    <t>7926/2024</t>
  </si>
  <si>
    <t>7379/2024</t>
  </si>
  <si>
    <t>n.p. 1:3</t>
  </si>
  <si>
    <t>&lt;0,15</t>
  </si>
  <si>
    <t>7927/2024</t>
  </si>
  <si>
    <t>Ar-01-25</t>
  </si>
  <si>
    <t>Tintoria
Finissaggio</t>
  </si>
  <si>
    <t>743/2025</t>
  </si>
  <si>
    <t>744/2025</t>
  </si>
  <si>
    <t>Reporting
(inclusa incertezza)</t>
  </si>
  <si>
    <t>7,26 ± 0,12</t>
  </si>
  <si>
    <t>860 ± 31</t>
  </si>
  <si>
    <t>23 ± 5,1</t>
  </si>
  <si>
    <t>7,06 ± 0,12</t>
  </si>
  <si>
    <t>540 ± 20</t>
  </si>
  <si>
    <t>16 ± 3,6</t>
  </si>
  <si>
    <t>7,31 ± 0,12</t>
  </si>
  <si>
    <t>730 ± 26</t>
  </si>
  <si>
    <t>25 ± 5,6</t>
  </si>
  <si>
    <t>3,1 ± 0,22</t>
  </si>
  <si>
    <t>2,8 ± 0,20</t>
  </si>
  <si>
    <t>2,3 ± 0,16</t>
  </si>
  <si>
    <t>&lt; LOQ (vari)</t>
  </si>
  <si>
    <t>Tipologia di scarico</t>
  </si>
  <si>
    <t>SD</t>
  </si>
  <si>
    <t>SI</t>
  </si>
  <si>
    <t>Acqua di scarico parzialmente depurata</t>
  </si>
  <si>
    <t>1231/2025</t>
  </si>
  <si>
    <t>720 ± 92</t>
  </si>
  <si>
    <t>21 ± 4,7</t>
  </si>
  <si>
    <t>1233/2025</t>
  </si>
  <si>
    <t>n.p. 1:80</t>
  </si>
  <si>
    <t>&lt;0,1</t>
  </si>
  <si>
    <t>Ingresso depuratore</t>
  </si>
  <si>
    <t>Ar-56-25</t>
  </si>
  <si>
    <t>n.p. 1:60</t>
  </si>
  <si>
    <t>1658/2025</t>
  </si>
  <si>
    <t>6,86 ± 0,17</t>
  </si>
  <si>
    <t>520 ± 66</t>
  </si>
  <si>
    <t>1,6 ± 0,11</t>
  </si>
  <si>
    <t>5,3 ± 1,2</t>
  </si>
  <si>
    <t>n.p. 1:5</t>
  </si>
  <si>
    <t>METODO: ASTM D7979-20</t>
  </si>
  <si>
    <t>Quantità prodotte</t>
  </si>
  <si>
    <t>Quantità complessiva in giacenza al 31/12</t>
  </si>
  <si>
    <t>Sistemi di trattamento fumi</t>
  </si>
  <si>
    <t>Vasche e sistemi di contenimento</t>
  </si>
  <si>
    <t>Tab. 17a</t>
  </si>
  <si>
    <t>Struttura contenim.</t>
  </si>
  <si>
    <t>N° identificativo area di stoccaggio (da planimetria)</t>
  </si>
  <si>
    <t>Tipo di controllo</t>
  </si>
  <si>
    <t>Freq.</t>
  </si>
  <si>
    <t>Contenitore chiuso</t>
  </si>
  <si>
    <t>Bacino di contenimento</t>
  </si>
  <si>
    <t>Accessori (pompe, valvole, …)</t>
  </si>
  <si>
    <t>Modalità di registrazione/conservazione dati</t>
  </si>
  <si>
    <t>Tab. 17b</t>
  </si>
  <si>
    <t>Verifica di tenuta dei sistemi di contenimento</t>
  </si>
  <si>
    <t>Nome commerciale - sostanza chimica</t>
  </si>
  <si>
    <t>Struttura di contenimento</t>
  </si>
  <si>
    <t>Data e descrizione ultimo intervento di manutenzione/prova tenuta eseguita nell'anno in oggetto</t>
  </si>
  <si>
    <t>Eventuale riferimento al documento interno di manutenzione e controllo</t>
  </si>
  <si>
    <t>6.1 Sistema di Gestione Ambientale</t>
  </si>
  <si>
    <t>Tab. 18</t>
  </si>
  <si>
    <t>Audit SGA (Reporting)</t>
  </si>
  <si>
    <t>Audit (interno/esterno)</t>
  </si>
  <si>
    <t>Data</t>
  </si>
  <si>
    <t>Non conformità/criticità</t>
  </si>
  <si>
    <t>Azioni intraprese</t>
  </si>
  <si>
    <t>6.2 Sistemi di controllo</t>
  </si>
  <si>
    <t>Sistemi di controllo</t>
  </si>
  <si>
    <t>Tab. 19</t>
  </si>
  <si>
    <t>Macchinario, Apparecchiatura</t>
  </si>
  <si>
    <t>Operazione eseguita</t>
  </si>
  <si>
    <t xml:space="preserve">Effettuata da </t>
  </si>
  <si>
    <t>Eventuale malfunzionamento (data e descrizione)</t>
  </si>
  <si>
    <t>Strumentazione di controllo</t>
  </si>
  <si>
    <t>Parametro/i</t>
  </si>
  <si>
    <t>6.3 Interventi di manutenzione ordinaria sui macchinari</t>
  </si>
  <si>
    <t>Tab. 20</t>
  </si>
  <si>
    <t>Manutenzione macchinari</t>
  </si>
  <si>
    <t>Fase di lavorazione</t>
  </si>
  <si>
    <t>Tipo di intervento e frequenze</t>
  </si>
  <si>
    <t>Tipo di intervento</t>
  </si>
  <si>
    <t>Frequenza controllo</t>
  </si>
  <si>
    <t>Documento di riferimento</t>
  </si>
  <si>
    <t>6.4 Eventi accidentali</t>
  </si>
  <si>
    <t>Tab. 21</t>
  </si>
  <si>
    <t>Eventi accidentali</t>
  </si>
  <si>
    <t>Tipo di evento</t>
  </si>
  <si>
    <t>Inizio (data, ora)</t>
  </si>
  <si>
    <t>Fine (data, ora)</t>
  </si>
  <si>
    <t>Modalità di prevenzione</t>
  </si>
  <si>
    <t>Modalità di comuniazione all'Autorità (n. protocollo del)</t>
  </si>
  <si>
    <t>7.1 Monitoraggio degli indicatori di performance</t>
  </si>
  <si>
    <t>Indicatori di performance</t>
  </si>
  <si>
    <t>Indicatore</t>
  </si>
  <si>
    <t>Valore</t>
  </si>
  <si>
    <t>Modalità di calcolo (specificare se M, S o C)</t>
  </si>
  <si>
    <t>Frequenza autocontrollo</t>
  </si>
  <si>
    <t>Consumo d’acqua per unità di prodotto</t>
  </si>
  <si>
    <t>C</t>
  </si>
  <si>
    <t>Documento di
indicatori ambientali
utilizzato per Report
di Sostenibilità della
Società</t>
  </si>
  <si>
    <t>Consumo d’energia per unità di prodotto</t>
  </si>
  <si>
    <t>Inquinante significativo in acqua per unità di
prodotto (da specificare) ovvero BAT AEL
specifico ove presente</t>
  </si>
  <si>
    <t>Inquinante significativo in aria per unità di
prodotto (da specificare) ovvero BAT AEL
specifico ove presente</t>
  </si>
  <si>
    <t>*NB: cambiata unità di misura</t>
  </si>
  <si>
    <t>Kg/mt finiti 2024</t>
  </si>
  <si>
    <t>7.2 Circolarità installazione</t>
  </si>
  <si>
    <t>Indicatori di circolarità</t>
  </si>
  <si>
    <t>S</t>
  </si>
  <si>
    <t xml:space="preserve">M </t>
  </si>
  <si>
    <t>Materie prime sostituite con
sottoprodotti</t>
  </si>
  <si>
    <t>Utilizzo di acqua recuperata</t>
  </si>
  <si>
    <t>Riduzione del consumo idrico
specifico</t>
  </si>
  <si>
    <t>Riduzione del consumo
energetico specifico</t>
  </si>
  <si>
    <t>Indice di recupero rifiuti annuo</t>
  </si>
  <si>
    <t>L’azienda ha adottato dal 2013 un Sistema Informativo per la pianificazione e la registrazione degli interventi manutentivi su macchinari, impianti e fabbricati del
sito produttivo (piattaforma S.I.M.). Attraverso un sistema di Richieste Di Intervento (RDI) i responsabili aziendali a presidio delle diverse fasi segnalano anomalie
e non conformità indicandone criticità QSA e urgenza. La registrazione degli interventi effettuati con note tecniche ed eventuale documentazione fotografica
costituisce Registro delle manutenzioni ai sensi del D.Lgs. 81/08 ed evidenza documentale per il processo manutentivo secondo i punti norma del Sistema di
Gestione QSA.</t>
  </si>
  <si>
    <t>In riferimento agli inquinanti riportati nel Regolamento (CE) n. 166/2006 del Parlamento europeo e del Consiglio (Registro europeo delle emissioni e dei trasferimenti di sostanze inquinanti, E-PRTR), Vitale Barberis Canonico presenta livelli al di sotto delle soglie di emissione riportate nel relativo Allegato II per ciascuna delle sostanze indicate.</t>
  </si>
  <si>
    <t>Produzione di rifiuti per unità di prodotto</t>
  </si>
  <si>
    <t>Kg/mt finiti 2022</t>
  </si>
  <si>
    <t>Kg/mt finiti 2023</t>
  </si>
  <si>
    <t>% kg annui rifiuti inviati a
recupero/kg annui rifiuti prodotti anno 2024</t>
  </si>
  <si>
    <t>% kg annui rifiuti inviati a
recupero/kg annui rifiuti prodotti anno 2023</t>
  </si>
  <si>
    <t>% kg annui rifiuti inviati a recupero/kg annui rifiuti prodotti anno 2022</t>
  </si>
  <si>
    <t>% su anno precedente (2022 vs 2021)</t>
  </si>
  <si>
    <t>% su anno precedente (2023 vs 2022)</t>
  </si>
  <si>
    <t>% su anno precedente (2024 vs 2023)</t>
  </si>
  <si>
    <t>Derivazione acque superficiali 
(n° 3)</t>
  </si>
  <si>
    <t>Emissioni in aria convogliate CT</t>
  </si>
  <si>
    <t>Emissioni in aria convogliate FIN-TIN</t>
  </si>
  <si>
    <t>19LA19689</t>
  </si>
  <si>
    <t>16LA18377</t>
  </si>
  <si>
    <t>16LA18378</t>
  </si>
  <si>
    <t>camino provvisorio</t>
  </si>
  <si>
    <t>16LA18611</t>
  </si>
  <si>
    <t>16LA18612</t>
  </si>
  <si>
    <t>16LA18613</t>
  </si>
  <si>
    <t>Gli esiti e le azioni intraprese nell’ambito degli audit, interni o esterni, previsti dal SGA sono riportati all’interno del sistema informatico per la gestione delle non conformità Blumatica SHEQ.</t>
  </si>
  <si>
    <t>kWh/mt finiti 2022</t>
  </si>
  <si>
    <t>kWh/mt finiti 2023</t>
  </si>
  <si>
    <t>kWh/mt finiti 2024</t>
  </si>
  <si>
    <t>mt 
2022</t>
  </si>
  <si>
    <t>mt
2023</t>
  </si>
  <si>
    <t>mt 
2024</t>
  </si>
  <si>
    <t>017/22</t>
  </si>
  <si>
    <t>074/22</t>
  </si>
  <si>
    <t>118/22</t>
  </si>
  <si>
    <t>161/22</t>
  </si>
  <si>
    <t>184/22</t>
  </si>
  <si>
    <t>248/22</t>
  </si>
  <si>
    <t>331/22</t>
  </si>
  <si>
    <t>395/22</t>
  </si>
  <si>
    <t>455/22</t>
  </si>
  <si>
    <t>008/23</t>
  </si>
  <si>
    <t>053/23</t>
  </si>
  <si>
    <t>105/23</t>
  </si>
  <si>
    <t>154/23</t>
  </si>
  <si>
    <t>182/23</t>
  </si>
  <si>
    <t>223/23</t>
  </si>
  <si>
    <t>324/23</t>
  </si>
  <si>
    <t>388/23</t>
  </si>
  <si>
    <t>015/24</t>
  </si>
  <si>
    <t>048/24</t>
  </si>
  <si>
    <t>135/24</t>
  </si>
  <si>
    <t>196/24</t>
  </si>
  <si>
    <t>247/24</t>
  </si>
  <si>
    <t>308/24</t>
  </si>
  <si>
    <t>Uscita finale linea 1</t>
  </si>
  <si>
    <t>020/22</t>
  </si>
  <si>
    <t>Acqua di scarico</t>
  </si>
  <si>
    <t>AR-20-22</t>
  </si>
  <si>
    <t>n.p. 1:20</t>
  </si>
  <si>
    <t>Esalazioni di nebbie odorose dalle vasche di trattamento biologico di depurazione delle acque</t>
  </si>
  <si>
    <t>Ossigenazione delle vasche per limitare fenomeni anaerobici odorigeni</t>
  </si>
  <si>
    <t>Superficie delle vasche</t>
  </si>
  <si>
    <t>Variabile a seconda delle condizioni metereologiche</t>
  </si>
  <si>
    <t>Segnalazione dei manutentori addetti al controllo quotidiano dell'impianto</t>
  </si>
  <si>
    <t xml:space="preserve">Valore 
Kg/anno </t>
  </si>
  <si>
    <r>
      <t xml:space="preserve">71*
</t>
    </r>
    <r>
      <rPr>
        <sz val="8"/>
        <color theme="1"/>
        <rFont val="Calibri"/>
        <family val="2"/>
        <scheme val="minor"/>
      </rPr>
      <t>*azoto totale</t>
    </r>
  </si>
  <si>
    <r>
      <t xml:space="preserve">38*
</t>
    </r>
    <r>
      <rPr>
        <sz val="8"/>
        <color theme="1"/>
        <rFont val="Calibri"/>
        <family val="2"/>
        <scheme val="minor"/>
      </rPr>
      <t>*azoto totale</t>
    </r>
  </si>
  <si>
    <r>
      <t xml:space="preserve">44*
</t>
    </r>
    <r>
      <rPr>
        <sz val="8"/>
        <color theme="1"/>
        <rFont val="Calibri"/>
        <family val="2"/>
        <scheme val="minor"/>
      </rPr>
      <t>*azoto totale</t>
    </r>
  </si>
  <si>
    <t>Mensile*</t>
  </si>
  <si>
    <t>Visivo</t>
  </si>
  <si>
    <t>In occasione della  sostituzione dei cubotainer dei prodotti ausiliari di filatura (olio di ensimaggio)</t>
  </si>
  <si>
    <t>Richiesta di intervento (RDI) su sistema SIM per eventuale riscontro di anomalia</t>
  </si>
  <si>
    <t>Modalità di registrazione/
conservazione dati</t>
  </si>
  <si>
    <t>BC02
Ausiliari
TINTORIA</t>
  </si>
  <si>
    <t>BC01
Ensimaggio
FILATURA</t>
  </si>
  <si>
    <t>In occasione del rabbocco delle cisterne dei prodotti ausiliari di tintoria (ammorbidenti, antireplicanti, …)</t>
  </si>
  <si>
    <t>BC03
Chimica di base
TINTORIA</t>
  </si>
  <si>
    <t>In occasione del rabbocco delle cisterne dei prodotti ausiliari di tintoria (acido formico, acido acetico, acqua ossigenata, ammoniaca)</t>
  </si>
  <si>
    <t>BC04
Gasolio da riscaldamento
CENTRALE TERMICA</t>
  </si>
  <si>
    <t>In occasione degli interventi di controllo ("prove di tenuta") dei serbatoi interrati</t>
  </si>
  <si>
    <t>MI1 
Piastra drenante
PIAZZALE AREA 
RIFIUTI PERICOLOSI</t>
  </si>
  <si>
    <t>MI2 
Piastra drenante
COLLETTORE SCARICO AUTOBOTTI</t>
  </si>
  <si>
    <t>Cisterna interrata 
EX BTZ</t>
  </si>
  <si>
    <t>Serbatoio dismesso 
e vuoto</t>
  </si>
  <si>
    <t>Cisterna interrata 
GRUPPO ELETTROGENO</t>
  </si>
  <si>
    <t>Il sito di Pratrivero è visitato quotidianiamente dagli autoveicoli dei trasportatori che consegnano e/o ritirano materie prime, semilavorati, 
prodotti intermedi e ausiliari di produzione, rifiuti, prodotti finiti. 
Gli automezzi aziendali collegano quotidianiamente il sito produttivo di Pratrivero con quello di Pray. 
All'esterno del perimetro aziendale sono disponibili cinque aree di posteggio per le vetture dei dipendenti e dei visitatori. 
L'accensione dei suddetti veicoli e/o il loro stazionamento momentaneo in corrispondenza dei varchi d'ingresso determina un modesto impatto ambientale costituito 
dai gas di scarico non quantificabile nè misurabile puntualmente. 
Gli automezzi aziendali sono regolarmente sottoposti a manutenzione, revisioni e verifiche delle emissioni ("controllo fumi").</t>
  </si>
  <si>
    <t>5,5-9,5</t>
  </si>
  <si>
    <t>077/22</t>
  </si>
  <si>
    <t>121/22</t>
  </si>
  <si>
    <t>164/22</t>
  </si>
  <si>
    <t>187/22</t>
  </si>
  <si>
    <t>AR-87-22</t>
  </si>
  <si>
    <t>251/22</t>
  </si>
  <si>
    <t>334/22</t>
  </si>
  <si>
    <t>AR-172-22</t>
  </si>
  <si>
    <t>398/22</t>
  </si>
  <si>
    <t>457/22</t>
  </si>
  <si>
    <t>AR-243-22</t>
  </si>
  <si>
    <t>La vasca della piastra drenante è stata impermeabilizzata con guaina bituminosa e collegata alla rete dei reflui tecnologici convogliata all'impianto di depurazione.</t>
  </si>
  <si>
    <t>011/23</t>
  </si>
  <si>
    <t>055/23</t>
  </si>
  <si>
    <t>AR-51-23</t>
  </si>
  <si>
    <t>Acqua di scarico non depurata</t>
  </si>
  <si>
    <t>108/23</t>
  </si>
  <si>
    <t>157/23</t>
  </si>
  <si>
    <t>185/23</t>
  </si>
  <si>
    <t>AR-117-23</t>
  </si>
  <si>
    <t>Uscita finale</t>
  </si>
  <si>
    <t>226/23</t>
  </si>
  <si>
    <t>362/23</t>
  </si>
  <si>
    <t>AR-191-23</t>
  </si>
  <si>
    <t>391/23</t>
  </si>
  <si>
    <t>AR-233-23</t>
  </si>
  <si>
    <t>AR-10-24</t>
  </si>
  <si>
    <t>018/24</t>
  </si>
  <si>
    <t>051/24</t>
  </si>
  <si>
    <t>138/24</t>
  </si>
  <si>
    <t>Uscita depuratore (SD)</t>
  </si>
  <si>
    <t>Uscita depuratore (SI)</t>
  </si>
  <si>
    <t>AR-89-24</t>
  </si>
  <si>
    <t>199/24</t>
  </si>
  <si>
    <t>250/24</t>
  </si>
  <si>
    <t>310/24</t>
  </si>
  <si>
    <t>LIMITI mg/l</t>
  </si>
  <si>
    <t>2002/2025</t>
  </si>
  <si>
    <t>7,39 ± 0,17</t>
  </si>
  <si>
    <t>810 ± 100</t>
  </si>
  <si>
    <t>27 ± 6,0</t>
  </si>
  <si>
    <t>3,9 ± 0,27</t>
  </si>
  <si>
    <t>2004/2025</t>
  </si>
  <si>
    <t>n.p. 1:1</t>
  </si>
  <si>
    <t>3257/2025</t>
  </si>
  <si>
    <t>7,13 ± 0,17</t>
  </si>
  <si>
    <t>680 ± 87</t>
  </si>
  <si>
    <t>1,5 ± 0,11</t>
  </si>
  <si>
    <t>18 ± 4,0</t>
  </si>
  <si>
    <t>3259/2025</t>
  </si>
  <si>
    <t>3710/2025</t>
  </si>
  <si>
    <t>7,23 ± 0,17</t>
  </si>
  <si>
    <t>880 ± 110</t>
  </si>
  <si>
    <t>6,0 ± 1,3</t>
  </si>
  <si>
    <t>&lt;1</t>
  </si>
  <si>
    <t>2,40 ± 0,17</t>
  </si>
  <si>
    <t>3712/2025</t>
  </si>
  <si>
    <t>Semestrale</t>
  </si>
  <si>
    <t>2450/2025</t>
  </si>
  <si>
    <t>6,72 ± 0,17</t>
  </si>
  <si>
    <t>700 ± 89</t>
  </si>
  <si>
    <t>28 ± 6,2</t>
  </si>
  <si>
    <t>2,5 ± 0,18</t>
  </si>
  <si>
    <t>2452/2025</t>
  </si>
  <si>
    <t>n.p. 1:2</t>
  </si>
  <si>
    <t>4298/2025</t>
  </si>
  <si>
    <t>7,01 ± 0,17</t>
  </si>
  <si>
    <t>777 ± 110</t>
  </si>
  <si>
    <t>22,4 ± 1,3</t>
  </si>
  <si>
    <t>2,42 ± 0,17</t>
  </si>
  <si>
    <t>4300/2025</t>
  </si>
  <si>
    <t>4971/2025</t>
  </si>
  <si>
    <t>6,95 ± 0,17</t>
  </si>
  <si>
    <t>748 ± 95</t>
  </si>
  <si>
    <t>6,18 ± 0,43</t>
  </si>
  <si>
    <t>17,2 ± 3,8</t>
  </si>
  <si>
    <t>4973/2025</t>
  </si>
  <si>
    <t>n.p. 1:10</t>
  </si>
  <si>
    <t>5833/2025</t>
  </si>
  <si>
    <t>7,48 ± 0,17</t>
  </si>
  <si>
    <t>805 ± 100</t>
  </si>
  <si>
    <t>2,15 ± 0,15</t>
  </si>
  <si>
    <t>17,9 ± 4,0</t>
  </si>
  <si>
    <t>5835/2025</t>
  </si>
  <si>
    <t>Quantità prodotta
2025</t>
  </si>
  <si>
    <t>Rifiuti da operazioni di finitura, diversi da quelli di cui alla voce 04 02 14</t>
  </si>
  <si>
    <t>04 02 15</t>
  </si>
  <si>
    <t>D13</t>
  </si>
  <si>
    <t>Toner per stampa esauriti, diversi da quelli di cui alla voce 08 03 17</t>
  </si>
  <si>
    <t>08 03 18</t>
  </si>
  <si>
    <t>Rifiuti di calcinazione e di idratazione della calce</t>
  </si>
  <si>
    <t>10 13 04</t>
  </si>
  <si>
    <t>Cere e grassi esauriti</t>
  </si>
  <si>
    <t>12 01 12*</t>
  </si>
  <si>
    <t>HP04</t>
  </si>
  <si>
    <t>12 01 17</t>
  </si>
  <si>
    <t>Soluzioni acquose di lavaggio</t>
  </si>
  <si>
    <t>12 03 01*</t>
  </si>
  <si>
    <t>Pneumatici fuori uso</t>
  </si>
  <si>
    <t>16 01 03</t>
  </si>
  <si>
    <t>Liquidi antigelo contenenti sostanze pericolose</t>
  </si>
  <si>
    <t>16 01 14*</t>
  </si>
  <si>
    <t>HP05 HP06</t>
  </si>
  <si>
    <t>Rifiuti liquidi acquosi, diversi da quelle di cui alla voce 16 10 01</t>
  </si>
  <si>
    <t>16 10 02</t>
  </si>
  <si>
    <t>Alluminio</t>
  </si>
  <si>
    <t>17 04 02</t>
  </si>
  <si>
    <t>Quantità prodotta
2022</t>
  </si>
  <si>
    <t>25LA129396</t>
  </si>
  <si>
    <t>25LA129397</t>
  </si>
  <si>
    <t>25LA129398</t>
  </si>
  <si>
    <t>25LA129399</t>
  </si>
  <si>
    <t>25LA128572</t>
  </si>
  <si>
    <t>25LA128574</t>
  </si>
  <si>
    <t>25LA128573</t>
  </si>
  <si>
    <t>25LA129400</t>
  </si>
  <si>
    <t>25LA128814</t>
  </si>
  <si>
    <t>25LA128815</t>
  </si>
  <si>
    <t>25LA128816</t>
  </si>
  <si>
    <t>6667/2025</t>
  </si>
  <si>
    <t>7,47 ± 0,17</t>
  </si>
  <si>
    <t>815 ± 100</t>
  </si>
  <si>
    <t>28,8 ± 6,5</t>
  </si>
  <si>
    <t>6,9 ± 0,46</t>
  </si>
  <si>
    <t>6669/2025</t>
  </si>
  <si>
    <t xml:space="preserve">D9/R13 </t>
  </si>
  <si>
    <t>Lino/Seta</t>
  </si>
  <si>
    <t>Fibre naturali vegetali</t>
  </si>
  <si>
    <t>Residui di materiale di sabbiatura, diversi da quelli di cui alla voce 12 01 16</t>
  </si>
  <si>
    <t>Altri materiali isolanti contenenti o costituiti da sostanze pericolose</t>
  </si>
  <si>
    <t>Assorbenti, materiali filtranti (inclusi filtri dell'olio non specificati altrimenti), stracci e indumenti protettivi, contaminati da sostanze pericolose</t>
  </si>
  <si>
    <t>Prova di tenuta
21/11/2025</t>
  </si>
  <si>
    <t>Certificato di prova 
Masstech Italia S.r.l.
Prot. 2025/11089/26182464</t>
  </si>
  <si>
    <t>Certificato di prova 
Masstech Italia S.r.l.
Prot. 2025/11088/26182463</t>
  </si>
  <si>
    <t xml:space="preserve">L’azienda ha adottato dal 2009 un Sistema volontario di Gestione Qualità conforme agli standard UNI EN ISO 9001. Le procedure di controllo codificate secondo
i punti norma del medesimo standard sono mantenute e rinnovate e attualmente conformi alla UNI EN ISO 9001:2015. Nel Manuale di Gestione sono definiti ruoli,
compiti e responsabilità per il controllo delle diverse fasi di lavorazione. Dal 2019 l’azienda ha adottato un Sistema di Gestione Qualità-Sicurezza-Ambiente, rafforzando il sistema di controllo estendendolo alle tre aree sensibili QSA: qualità di processo e di prodotto, tutela salute e sicurezza dei lavoratori, tutela dell’ambiente. </t>
  </si>
  <si>
    <t>Nel corso del 2025 non sono accaduti significativi eventi accidentali quali malfunzionamenti rilevanti, incidenti seri o segnalazioni di molestie gravi.</t>
  </si>
  <si>
    <t>kWh/mt finiti 2025</t>
  </si>
  <si>
    <t>Kg/mt finiti 2025</t>
  </si>
  <si>
    <t>% kg annui rifiuti inviati a
recupero/kg annui rifiuti prodotti anno 2025</t>
  </si>
  <si>
    <t>mt 
2025</t>
  </si>
  <si>
    <t>% su anno precedente (2025 vs 2024)</t>
  </si>
  <si>
    <t>21/6/2019</t>
  </si>
  <si>
    <t>19LA19685</t>
  </si>
  <si>
    <t>20/06/2019</t>
  </si>
  <si>
    <t>19LA19185</t>
  </si>
  <si>
    <t>19LA19186</t>
  </si>
  <si>
    <t>19/06/2019</t>
  </si>
  <si>
    <t>Mc</t>
  </si>
  <si>
    <t>Mc 
gas naturale</t>
  </si>
  <si>
    <t>Lt</t>
  </si>
  <si>
    <r>
      <t xml:space="preserve">Monossido di carbonio
mg/Nmc
</t>
    </r>
    <r>
      <rPr>
        <b/>
        <sz val="11"/>
        <color rgb="FFFF0000"/>
        <rFont val="Calibri"/>
        <family val="2"/>
        <scheme val="minor"/>
      </rPr>
      <t>[LIMITE: 100 mg/Nmc]</t>
    </r>
    <r>
      <rPr>
        <b/>
        <sz val="11"/>
        <color theme="1"/>
        <rFont val="Calibri"/>
        <family val="2"/>
        <scheme val="minor"/>
      </rPr>
      <t xml:space="preserve">
UNI EN 15058:2017</t>
    </r>
  </si>
  <si>
    <r>
      <t xml:space="preserve">Ossidi di azoto come NO2
mg/Nmc
</t>
    </r>
    <r>
      <rPr>
        <b/>
        <sz val="11"/>
        <color rgb="FFFF0000"/>
        <rFont val="Calibri"/>
        <family val="2"/>
        <scheme val="minor"/>
      </rPr>
      <t>[LIMITE: 150 mg/Nmc]</t>
    </r>
    <r>
      <rPr>
        <b/>
        <sz val="11"/>
        <color theme="1"/>
        <rFont val="Calibri"/>
        <family val="2"/>
        <scheme val="minor"/>
      </rPr>
      <t xml:space="preserve">
UNI EN 14792:2017</t>
    </r>
  </si>
  <si>
    <r>
      <t xml:space="preserve">Polveri totali
mg/Nmc
</t>
    </r>
    <r>
      <rPr>
        <b/>
        <sz val="11"/>
        <color rgb="FFFF0000"/>
        <rFont val="Calibri"/>
        <family val="2"/>
        <scheme val="minor"/>
      </rPr>
      <t>[LIMITE: 5 mg/Nmc]</t>
    </r>
    <r>
      <rPr>
        <b/>
        <sz val="11"/>
        <color theme="1"/>
        <rFont val="Calibri"/>
        <family val="2"/>
        <scheme val="minor"/>
      </rPr>
      <t xml:space="preserve">
UNI EN 13284-1:2017</t>
    </r>
  </si>
  <si>
    <r>
      <t xml:space="preserve">Polveri totali comprese nebbie oleose
mg/Nmc
</t>
    </r>
    <r>
      <rPr>
        <b/>
        <sz val="11"/>
        <color rgb="FFFF0000"/>
        <rFont val="Calibri"/>
        <family val="2"/>
        <scheme val="minor"/>
      </rPr>
      <t>[LIMITE: 10 mg/Nmc]</t>
    </r>
    <r>
      <rPr>
        <b/>
        <sz val="11"/>
        <color theme="1"/>
        <rFont val="Calibri"/>
        <family val="2"/>
        <scheme val="minor"/>
      </rPr>
      <t xml:space="preserve">
UNI EN 13284-1:2017</t>
    </r>
  </si>
  <si>
    <r>
      <t xml:space="preserve">COV non metanici (come C)
mg/Nmc
</t>
    </r>
    <r>
      <rPr>
        <b/>
        <sz val="11"/>
        <color rgb="FFFF0000"/>
        <rFont val="Calibri"/>
        <family val="2"/>
        <scheme val="minor"/>
      </rPr>
      <t xml:space="preserve">[LIMITE: 
FIN1 20 mg/Nmc; 
ALTRI 50 mg/Nmc]
</t>
    </r>
    <r>
      <rPr>
        <b/>
        <sz val="11"/>
        <rFont val="Calibri"/>
        <family val="2"/>
        <scheme val="minor"/>
      </rPr>
      <t>UNI EN 12619:2013</t>
    </r>
  </si>
  <si>
    <t>ex FIN2</t>
  </si>
  <si>
    <t>COD
mg/Lt</t>
  </si>
  <si>
    <t>Ammoniaca
mg/Lt</t>
  </si>
  <si>
    <t>Azoto organico
mg/Lt</t>
  </si>
  <si>
    <t>Fosforo totaLte
mg/Lt</t>
  </si>
  <si>
    <t>MBAS
(t. anionici)
mg/Lt</t>
  </si>
  <si>
    <t>BiAS
(t. nonionici)
mg/Lt</t>
  </si>
  <si>
    <t>Lt/mt finiti 2022</t>
  </si>
  <si>
    <t>Lt/mt finiti 2023</t>
  </si>
  <si>
    <t>Lt/mt finiti 2024</t>
  </si>
  <si>
    <t>Lt/mt finiti 2025</t>
  </si>
  <si>
    <t>Mc/anno 2025</t>
  </si>
  <si>
    <t>Mc/anno 2024</t>
  </si>
  <si>
    <t>Mc/anno 2023</t>
  </si>
  <si>
    <t>Mc/anno 2022</t>
  </si>
  <si>
    <t>BOD
mg/Lt</t>
  </si>
  <si>
    <t>HOI
mg/Lt</t>
  </si>
  <si>
    <t>Cr
mg/Lt</t>
  </si>
  <si>
    <t>Cu
mg/Lt</t>
  </si>
  <si>
    <t>Ni
mg/Lt</t>
  </si>
  <si>
    <t>Zn
mg/Lt</t>
  </si>
  <si>
    <t>Cr(VI)
mg/Lt</t>
  </si>
  <si>
    <t>Fe 
mg/Lt</t>
  </si>
  <si>
    <t>Cd 
mg/Lt</t>
  </si>
  <si>
    <t>Mn 
mg/Lt</t>
  </si>
  <si>
    <t>Pb 
mg/Lt</t>
  </si>
  <si>
    <t>PFAS
µg/Lt</t>
  </si>
  <si>
    <t>AP e APEO
mg/Lt</t>
  </si>
  <si>
    <t>BiAS 
(t. non ionici)
mg/Lt</t>
  </si>
  <si>
    <t>t. cationici
mg/Lt</t>
  </si>
  <si>
    <t>TSS
mg/Lt</t>
  </si>
  <si>
    <t>Azoto nitroso
mg/Lt</t>
  </si>
  <si>
    <t>Azoto nitrico
mg/Lt</t>
  </si>
  <si>
    <t>t. totali
mg/Lt</t>
  </si>
  <si>
    <t>Azoto totale
mg/Lt</t>
  </si>
  <si>
    <t>Fosforo totale
mg/Lt</t>
  </si>
  <si>
    <t>Cloruri
mg/Lt</t>
  </si>
  <si>
    <t>Solfati
mg/Lt</t>
  </si>
  <si>
    <t>Solventi clorurati
mg/Lt</t>
  </si>
  <si>
    <t>AOX
mg/Lt</t>
  </si>
  <si>
    <t>BiAS 
(t. nonionici)
mg/Lt</t>
  </si>
  <si>
    <t>VBC, nei tempi e nelle modalità prescritte, nel mese di maggio 2025 ha incaricato lo studio di ingegneria Territorium di Valdilana di progettare la realizzazione di una rete piezometrica costituita da 1 piezometro a monte e 2 piezometri a valle del fabbricato che ospita il reparto di tintoria, individuato come potenziale centro di pericolo per la contaminazione del sottosuolo.
A fine luglio 2025 il progetto è stato sottoposto alla valutazione degli Enti, con riscontro a gennaio 2026 da parte della Provincia di Biella con l’invito a procedere alla realizzazione dei piezometri come proposto.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</si>
</sst>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
  </numFmts>
  <fonts count="17">
    <font>
      <sz val="11"/>
      <color theme="1"/>
      <name val="Calibri"/>
      <family val="2"/>
      <scheme val="minor"/>
    </font>
    <font>
      <b/>
      <sz val="11"/>
      <color theme="1"/>
      <name val="Calibri"/>
      <family val="2"/>
      <scheme val="minor"/>
    </font>
    <font>
      <b/>
      <sz val="14"/>
      <color theme="1"/>
      <name val="Calibri"/>
      <family val="2"/>
      <scheme val="minor"/>
    </font>
    <font>
      <sz val="10"/>
      <color rgb="FF0070C0"/>
      <name val="ArialMT"/>
    </font>
    <font>
      <sz val="8"/>
      <color rgb="FF000000"/>
      <name val="ArialMT"/>
    </font>
    <font>
      <b/>
      <i/>
      <sz val="14"/>
      <color theme="1"/>
      <name val="Calibri"/>
      <family val="2"/>
      <scheme val="minor"/>
    </font>
    <font>
      <b/>
      <sz val="11"/>
      <color rgb="FFFF0000"/>
      <name val="Calibri"/>
      <family val="2"/>
      <scheme val="minor"/>
    </font>
    <font>
      <b/>
      <sz val="11"/>
      <name val="Calibri"/>
      <family val="2"/>
      <scheme val="minor"/>
    </font>
    <font>
      <i/>
      <sz val="11"/>
      <color theme="1"/>
      <name val="Calibri"/>
      <family val="2"/>
      <scheme val="minor"/>
    </font>
    <font>
      <b/>
      <sz val="10"/>
      <color rgb="FFFF0000"/>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sz val="8"/>
      <color theme="1"/>
      <name val="Calibri"/>
      <family val="2"/>
      <scheme val="minor"/>
    </font>
    <font>
      <sz val="8"/>
      <name val="Calibri"/>
      <family val="2"/>
      <scheme val="minor"/>
    </font>
    <font>
      <sz val="9"/>
      <color indexed="81"/>
      <name val="Tahoma"/>
      <family val="2"/>
    </font>
    <font>
      <b/>
      <sz val="9"/>
      <color indexed="81"/>
      <name val="Tahoma"/>
      <family val="2"/>
    </font>
  </fonts>
  <fills count="12">
    <fill>
      <patternFill patternType="none"/>
    </fill>
    <fill>
      <patternFill patternType="gray125"/>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FE5FF"/>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3" tint="0.59999389629810485"/>
        <bgColor indexed="64"/>
      </patternFill>
    </fill>
  </fills>
  <borders count="2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double">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top/>
      <bottom style="thin">
        <color theme="0" tint="-0.249977111117893"/>
      </bottom>
      <diagonal/>
    </border>
    <border>
      <left style="thin">
        <color theme="0" tint="-0.499984740745262"/>
      </left>
      <right style="thin">
        <color theme="0" tint="-0.499984740745262"/>
      </right>
      <top style="double">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indexed="64"/>
      </bottom>
      <diagonal/>
    </border>
    <border>
      <left style="thin">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top/>
      <bottom/>
      <diagonal/>
    </border>
  </borders>
  <cellStyleXfs count="2">
    <xf numFmtId="0" fontId="0" fillId="0" borderId="0"/>
    <xf numFmtId="9" fontId="12" fillId="0" borderId="0" applyFont="0" applyFill="0" applyBorder="0" applyAlignment="0" applyProtection="0"/>
  </cellStyleXfs>
  <cellXfs count="197">
    <xf numFmtId="0" fontId="0" fillId="0" borderId="0" xfId="0"/>
    <xf numFmtId="0" fontId="0" fillId="0" borderId="0" xfId="0" applyAlignment="1">
      <alignment horizontal="center" vertical="center" wrapText="1"/>
    </xf>
    <xf numFmtId="4" fontId="0" fillId="0" borderId="0" xfId="0" applyNumberFormat="1" applyAlignment="1">
      <alignment horizontal="center" vertical="center" wrapText="1"/>
    </xf>
    <xf numFmtId="0" fontId="0" fillId="0" borderId="1" xfId="0" applyBorder="1" applyAlignment="1">
      <alignment horizontal="center" vertical="center" wrapText="1"/>
    </xf>
    <xf numFmtId="4" fontId="0" fillId="0" borderId="1" xfId="0" applyNumberFormat="1" applyBorder="1" applyAlignment="1">
      <alignment horizontal="center" vertical="center" wrapText="1"/>
    </xf>
    <xf numFmtId="0" fontId="0" fillId="0" borderId="2" xfId="0" applyBorder="1" applyAlignment="1">
      <alignment horizontal="center" vertical="center" wrapText="1"/>
    </xf>
    <xf numFmtId="4" fontId="0" fillId="0" borderId="2" xfId="0" applyNumberFormat="1" applyBorder="1" applyAlignment="1">
      <alignment horizontal="center" vertical="center" wrapText="1"/>
    </xf>
    <xf numFmtId="0" fontId="3" fillId="0" borderId="0" xfId="0" applyFont="1" applyAlignment="1">
      <alignment vertical="center" wrapText="1"/>
    </xf>
    <xf numFmtId="0" fontId="4" fillId="0" borderId="0" xfId="0" applyFont="1" applyAlignment="1">
      <alignment vertical="center" wrapText="1"/>
    </xf>
    <xf numFmtId="2" fontId="3" fillId="0" borderId="0" xfId="0" applyNumberFormat="1" applyFont="1" applyAlignment="1">
      <alignmen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0" xfId="0" applyAlignment="1">
      <alignment wrapText="1"/>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0" fillId="4" borderId="1" xfId="0" applyFill="1" applyBorder="1" applyAlignment="1">
      <alignment horizontal="center" vertical="center" wrapText="1"/>
    </xf>
    <xf numFmtId="0" fontId="0" fillId="4" borderId="3" xfId="0" applyFill="1" applyBorder="1" applyAlignment="1">
      <alignment horizontal="center" vertical="center" wrapText="1"/>
    </xf>
    <xf numFmtId="4" fontId="0" fillId="4" borderId="3" xfId="0" applyNumberFormat="1" applyFill="1" applyBorder="1" applyAlignment="1">
      <alignment horizontal="center" vertical="center" wrapText="1"/>
    </xf>
    <xf numFmtId="4" fontId="0" fillId="4" borderId="1" xfId="0" applyNumberFormat="1" applyFill="1" applyBorder="1" applyAlignment="1">
      <alignment horizontal="center" vertical="center" wrapText="1"/>
    </xf>
    <xf numFmtId="4" fontId="0" fillId="4" borderId="0" xfId="0" applyNumberFormat="1" applyFill="1" applyAlignment="1">
      <alignment horizontal="center" vertical="center" wrapText="1"/>
    </xf>
    <xf numFmtId="0" fontId="2"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4" fontId="1" fillId="7" borderId="1" xfId="0"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4" fontId="1" fillId="8" borderId="1" xfId="0" applyNumberFormat="1" applyFont="1" applyFill="1" applyBorder="1" applyAlignment="1">
      <alignment horizontal="center" vertical="center" wrapText="1"/>
    </xf>
    <xf numFmtId="14" fontId="0" fillId="0" borderId="1" xfId="0" applyNumberFormat="1" applyBorder="1" applyAlignment="1">
      <alignment horizontal="center" vertical="center" wrapText="1"/>
    </xf>
    <xf numFmtId="4" fontId="0" fillId="0" borderId="0" xfId="0" applyNumberFormat="1"/>
    <xf numFmtId="14" fontId="0" fillId="4" borderId="1" xfId="0" applyNumberFormat="1" applyFill="1" applyBorder="1" applyAlignment="1">
      <alignment horizontal="center" vertical="center" wrapText="1"/>
    </xf>
    <xf numFmtId="14" fontId="0" fillId="4" borderId="3" xfId="0" applyNumberFormat="1" applyFill="1" applyBorder="1" applyAlignment="1">
      <alignment horizontal="center" vertical="center" wrapText="1"/>
    </xf>
    <xf numFmtId="14" fontId="0" fillId="0" borderId="2" xfId="0" applyNumberFormat="1" applyBorder="1" applyAlignment="1">
      <alignment horizontal="center" vertical="center" wrapText="1"/>
    </xf>
    <xf numFmtId="0" fontId="0" fillId="0" borderId="3" xfId="0" applyBorder="1" applyAlignment="1">
      <alignment horizontal="center" vertical="center" wrapText="1"/>
    </xf>
    <xf numFmtId="14" fontId="0" fillId="0" borderId="3" xfId="0" applyNumberFormat="1" applyBorder="1" applyAlignment="1">
      <alignment horizontal="center" vertical="center" wrapText="1"/>
    </xf>
    <xf numFmtId="4" fontId="0" fillId="0" borderId="3" xfId="0" applyNumberFormat="1" applyBorder="1" applyAlignment="1">
      <alignment horizontal="center" vertical="center" wrapText="1"/>
    </xf>
    <xf numFmtId="0" fontId="0" fillId="4" borderId="2" xfId="0" applyFill="1" applyBorder="1" applyAlignment="1">
      <alignment horizontal="center" vertical="center" wrapText="1"/>
    </xf>
    <xf numFmtId="14" fontId="0" fillId="4" borderId="2" xfId="0" applyNumberFormat="1" applyFill="1" applyBorder="1" applyAlignment="1">
      <alignment horizontal="center" vertical="center" wrapText="1"/>
    </xf>
    <xf numFmtId="4" fontId="0" fillId="4" borderId="2" xfId="0" applyNumberFormat="1" applyFill="1" applyBorder="1" applyAlignment="1">
      <alignment horizontal="center" vertical="center" wrapText="1"/>
    </xf>
    <xf numFmtId="0" fontId="8" fillId="0" borderId="1" xfId="0" applyFont="1" applyBorder="1" applyAlignment="1">
      <alignment horizontal="center" vertical="center" wrapText="1"/>
    </xf>
    <xf numFmtId="0" fontId="1" fillId="8" borderId="3" xfId="0" applyFont="1" applyFill="1" applyBorder="1" applyAlignment="1">
      <alignment horizontal="center" vertical="center" wrapText="1"/>
    </xf>
    <xf numFmtId="2" fontId="0" fillId="0" borderId="1" xfId="0" applyNumberFormat="1" applyBorder="1" applyAlignment="1">
      <alignment horizontal="center" vertical="center" wrapText="1"/>
    </xf>
    <xf numFmtId="3" fontId="0" fillId="0" borderId="1" xfId="0" applyNumberFormat="1" applyBorder="1" applyAlignment="1">
      <alignment horizontal="center" vertical="center" wrapText="1"/>
    </xf>
    <xf numFmtId="0" fontId="9"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0" borderId="0" xfId="0" applyFont="1"/>
    <xf numFmtId="0" fontId="0" fillId="0" borderId="15" xfId="0" applyBorder="1"/>
    <xf numFmtId="0" fontId="1" fillId="9" borderId="1"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9" fillId="9" borderId="1" xfId="0" applyFont="1" applyFill="1" applyBorder="1" applyAlignment="1">
      <alignment horizontal="center" vertical="center" wrapText="1"/>
    </xf>
    <xf numFmtId="3" fontId="1" fillId="0" borderId="1" xfId="0" applyNumberFormat="1" applyFont="1" applyBorder="1" applyAlignment="1">
      <alignment horizontal="center" vertical="center" wrapText="1"/>
    </xf>
    <xf numFmtId="0" fontId="0" fillId="0" borderId="11" xfId="0" applyBorder="1" applyAlignment="1">
      <alignment horizontal="center" vertical="center" wrapText="1"/>
    </xf>
    <xf numFmtId="4" fontId="0" fillId="0" borderId="11" xfId="0" applyNumberFormat="1" applyBorder="1" applyAlignment="1">
      <alignment horizontal="center" vertical="center" wrapText="1"/>
    </xf>
    <xf numFmtId="0" fontId="0" fillId="4" borderId="16" xfId="0" applyFill="1" applyBorder="1" applyAlignment="1">
      <alignment horizontal="center" vertical="center" wrapText="1"/>
    </xf>
    <xf numFmtId="4" fontId="0" fillId="4" borderId="16" xfId="0" applyNumberFormat="1" applyFill="1" applyBorder="1" applyAlignment="1">
      <alignment horizontal="center" vertical="center" wrapText="1"/>
    </xf>
    <xf numFmtId="0" fontId="0" fillId="4" borderId="17" xfId="0" applyFill="1" applyBorder="1" applyAlignment="1">
      <alignment horizontal="center" vertical="center" wrapText="1"/>
    </xf>
    <xf numFmtId="4" fontId="0" fillId="4" borderId="17" xfId="0" applyNumberFormat="1" applyFill="1" applyBorder="1" applyAlignment="1">
      <alignment horizontal="center" vertical="center" wrapText="1"/>
    </xf>
    <xf numFmtId="0" fontId="0" fillId="0" borderId="17" xfId="0" applyBorder="1" applyAlignment="1">
      <alignment horizontal="center" vertical="center" wrapText="1"/>
    </xf>
    <xf numFmtId="4" fontId="0" fillId="0" borderId="17" xfId="0" applyNumberFormat="1" applyBorder="1" applyAlignment="1">
      <alignment horizontal="center" vertical="center" wrapText="1"/>
    </xf>
    <xf numFmtId="164" fontId="0" fillId="0" borderId="1" xfId="0" applyNumberFormat="1" applyBorder="1" applyAlignment="1">
      <alignment horizontal="center" vertical="center" wrapText="1"/>
    </xf>
    <xf numFmtId="0" fontId="0" fillId="4" borderId="18" xfId="0" applyFill="1" applyBorder="1" applyAlignment="1">
      <alignment horizontal="center" vertical="center" wrapText="1"/>
    </xf>
    <xf numFmtId="4" fontId="0" fillId="4" borderId="18" xfId="0" applyNumberFormat="1" applyFill="1" applyBorder="1" applyAlignment="1">
      <alignment horizontal="center" vertical="center" wrapText="1"/>
    </xf>
    <xf numFmtId="0" fontId="0" fillId="10" borderId="1" xfId="0" applyFill="1" applyBorder="1" applyAlignment="1">
      <alignment horizontal="center" vertical="center" wrapText="1"/>
    </xf>
    <xf numFmtId="0" fontId="0" fillId="5" borderId="1" xfId="0" applyFill="1" applyBorder="1" applyAlignment="1">
      <alignment horizontal="center" vertical="center" wrapText="1"/>
    </xf>
    <xf numFmtId="165" fontId="0" fillId="0" borderId="1" xfId="0" applyNumberFormat="1" applyBorder="1" applyAlignment="1">
      <alignment horizontal="center" vertical="center" wrapText="1"/>
    </xf>
    <xf numFmtId="0" fontId="2" fillId="6"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6" fillId="0" borderId="0" xfId="0" applyFont="1" applyAlignment="1">
      <alignment horizontal="left" vertical="center" wrapText="1"/>
    </xf>
    <xf numFmtId="9" fontId="0" fillId="0" borderId="1" xfId="1" applyFont="1" applyFill="1" applyBorder="1" applyAlignment="1">
      <alignment horizontal="center" vertical="center" wrapText="1"/>
    </xf>
    <xf numFmtId="0" fontId="13" fillId="0" borderId="1" xfId="0" applyFont="1" applyBorder="1" applyAlignment="1">
      <alignment horizontal="center" vertical="center" wrapText="1"/>
    </xf>
    <xf numFmtId="2" fontId="0" fillId="4" borderId="1" xfId="0" applyNumberFormat="1" applyFill="1" applyBorder="1" applyAlignment="1">
      <alignment horizontal="center" vertical="center" wrapText="1"/>
    </xf>
    <xf numFmtId="165" fontId="0" fillId="4" borderId="1" xfId="0" applyNumberFormat="1" applyFill="1" applyBorder="1" applyAlignment="1">
      <alignment horizontal="center" vertical="center" wrapText="1"/>
    </xf>
    <xf numFmtId="0" fontId="13" fillId="4" borderId="1" xfId="0" applyFont="1" applyFill="1" applyBorder="1" applyAlignment="1">
      <alignment horizontal="center" vertical="center" wrapText="1"/>
    </xf>
    <xf numFmtId="0" fontId="0" fillId="0" borderId="19" xfId="0" applyBorder="1" applyAlignment="1">
      <alignment horizontal="center" vertical="center" wrapText="1"/>
    </xf>
    <xf numFmtId="9" fontId="0" fillId="4" borderId="1" xfId="1" applyFont="1" applyFill="1" applyBorder="1" applyAlignment="1">
      <alignment horizontal="center" vertical="center" wrapText="1"/>
    </xf>
    <xf numFmtId="14" fontId="0" fillId="4" borderId="17" xfId="0" applyNumberFormat="1" applyFill="1" applyBorder="1" applyAlignment="1">
      <alignment horizontal="center" vertical="center" wrapText="1"/>
    </xf>
    <xf numFmtId="14" fontId="0" fillId="0" borderId="17" xfId="0" applyNumberFormat="1" applyBorder="1" applyAlignment="1">
      <alignment horizontal="center" vertical="center" wrapText="1"/>
    </xf>
    <xf numFmtId="9" fontId="0" fillId="0" borderId="17" xfId="1" applyFont="1" applyFill="1" applyBorder="1" applyAlignment="1">
      <alignment horizontal="center" vertical="center" wrapText="1"/>
    </xf>
    <xf numFmtId="9" fontId="0" fillId="4" borderId="17" xfId="1" applyFont="1" applyFill="1" applyBorder="1" applyAlignment="1">
      <alignment horizontal="center" vertical="center" wrapText="1"/>
    </xf>
    <xf numFmtId="166" fontId="0" fillId="0" borderId="1" xfId="0" applyNumberFormat="1" applyBorder="1" applyAlignment="1">
      <alignment horizontal="center" vertical="center" wrapText="1"/>
    </xf>
    <xf numFmtId="0" fontId="1" fillId="8" borderId="10" xfId="0" applyFont="1" applyFill="1" applyBorder="1" applyAlignment="1">
      <alignment horizontal="center" vertical="center" wrapText="1"/>
    </xf>
    <xf numFmtId="0" fontId="0" fillId="0" borderId="1" xfId="0" applyBorder="1" applyAlignment="1">
      <alignment vertical="center"/>
    </xf>
    <xf numFmtId="2" fontId="0" fillId="0" borderId="3" xfId="0" applyNumberFormat="1" applyBorder="1" applyAlignment="1">
      <alignment horizontal="center" vertical="center" wrapText="1"/>
    </xf>
    <xf numFmtId="2" fontId="0" fillId="0" borderId="2" xfId="0" applyNumberFormat="1" applyBorder="1" applyAlignment="1">
      <alignment horizontal="center" vertical="center" wrapText="1"/>
    </xf>
    <xf numFmtId="0" fontId="0" fillId="5" borderId="3" xfId="0" applyFill="1" applyBorder="1" applyAlignment="1">
      <alignment horizontal="center" vertical="center" wrapText="1"/>
    </xf>
    <xf numFmtId="0" fontId="0" fillId="5" borderId="2" xfId="0" applyFill="1" applyBorder="1" applyAlignment="1">
      <alignment horizontal="center" vertical="center" wrapText="1"/>
    </xf>
    <xf numFmtId="164" fontId="0" fillId="0" borderId="3" xfId="0" applyNumberFormat="1" applyBorder="1" applyAlignment="1">
      <alignment horizontal="center" vertical="center" wrapText="1"/>
    </xf>
    <xf numFmtId="0" fontId="9" fillId="5" borderId="1" xfId="0" applyFont="1" applyFill="1" applyBorder="1" applyAlignment="1">
      <alignment horizontal="center" vertical="center" wrapText="1"/>
    </xf>
    <xf numFmtId="3" fontId="0" fillId="0" borderId="9" xfId="0" applyNumberFormat="1" applyBorder="1" applyAlignment="1">
      <alignment horizontal="center" vertical="center" wrapText="1"/>
    </xf>
    <xf numFmtId="0" fontId="8" fillId="4"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3" fontId="0" fillId="4" borderId="1" xfId="0" applyNumberFormat="1" applyFill="1" applyBorder="1" applyAlignment="1">
      <alignment horizontal="center" vertical="center" wrapText="1"/>
    </xf>
    <xf numFmtId="3" fontId="0" fillId="0" borderId="2" xfId="0" applyNumberFormat="1" applyBorder="1" applyAlignment="1">
      <alignment horizontal="center" vertical="center" wrapText="1"/>
    </xf>
    <xf numFmtId="2" fontId="0" fillId="4" borderId="17" xfId="0" applyNumberFormat="1" applyFill="1" applyBorder="1" applyAlignment="1">
      <alignment horizontal="center" vertical="center" wrapText="1"/>
    </xf>
    <xf numFmtId="166" fontId="0" fillId="0" borderId="3" xfId="0" applyNumberFormat="1" applyBorder="1" applyAlignment="1">
      <alignment horizontal="center" vertical="center" wrapText="1"/>
    </xf>
    <xf numFmtId="166" fontId="0" fillId="0" borderId="17" xfId="0" applyNumberFormat="1" applyBorder="1" applyAlignment="1">
      <alignment horizontal="center" vertical="center" wrapText="1"/>
    </xf>
    <xf numFmtId="2" fontId="0" fillId="0" borderId="17" xfId="0" applyNumberFormat="1" applyBorder="1" applyAlignment="1">
      <alignment horizontal="center" vertical="center" wrapText="1"/>
    </xf>
    <xf numFmtId="0" fontId="0" fillId="10" borderId="3" xfId="0" applyFill="1" applyBorder="1" applyAlignment="1">
      <alignment horizontal="center" vertical="center" wrapText="1"/>
    </xf>
    <xf numFmtId="0" fontId="0" fillId="10" borderId="17" xfId="0" applyFill="1" applyBorder="1" applyAlignment="1">
      <alignment horizontal="center" vertical="center" wrapText="1"/>
    </xf>
    <xf numFmtId="164" fontId="0" fillId="0" borderId="17" xfId="0" applyNumberFormat="1" applyBorder="1" applyAlignment="1">
      <alignment horizontal="center" vertical="center" wrapText="1"/>
    </xf>
    <xf numFmtId="1" fontId="0" fillId="0" borderId="17" xfId="0" applyNumberFormat="1" applyBorder="1" applyAlignment="1">
      <alignment horizontal="center" vertical="center" wrapText="1"/>
    </xf>
    <xf numFmtId="165" fontId="0" fillId="0" borderId="17" xfId="0" applyNumberFormat="1" applyBorder="1" applyAlignment="1">
      <alignment horizontal="center" vertical="center" wrapText="1"/>
    </xf>
    <xf numFmtId="2" fontId="0" fillId="4" borderId="3" xfId="0" applyNumberFormat="1" applyFill="1" applyBorder="1" applyAlignment="1">
      <alignment horizontal="center" vertical="center" wrapText="1"/>
    </xf>
    <xf numFmtId="165" fontId="0" fillId="4" borderId="17" xfId="0" applyNumberFormat="1" applyFill="1" applyBorder="1" applyAlignment="1">
      <alignment horizontal="center" vertical="center" wrapText="1"/>
    </xf>
    <xf numFmtId="0" fontId="0" fillId="4" borderId="3" xfId="0" quotePrefix="1" applyFill="1" applyBorder="1" applyAlignment="1">
      <alignment horizontal="center" vertical="center" wrapText="1"/>
    </xf>
    <xf numFmtId="14" fontId="0" fillId="4" borderId="1" xfId="0" quotePrefix="1" applyNumberFormat="1" applyFill="1" applyBorder="1" applyAlignment="1">
      <alignment horizontal="center" vertical="center" wrapText="1"/>
    </xf>
    <xf numFmtId="14" fontId="0" fillId="4" borderId="17" xfId="0" quotePrefix="1" applyNumberForma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3" xfId="0" applyFill="1" applyBorder="1" applyAlignment="1">
      <alignment horizontal="center" vertical="center" wrapText="1"/>
    </xf>
    <xf numFmtId="4" fontId="0" fillId="4" borderId="9" xfId="0" applyNumberFormat="1" applyFill="1" applyBorder="1" applyAlignment="1">
      <alignment horizontal="center" vertical="center" wrapText="1"/>
    </xf>
    <xf numFmtId="4" fontId="0" fillId="4" borderId="10" xfId="0" applyNumberFormat="1" applyFill="1" applyBorder="1" applyAlignment="1">
      <alignment horizontal="center" vertical="center" wrapText="1"/>
    </xf>
    <xf numFmtId="4" fontId="0" fillId="4" borderId="3" xfId="0" applyNumberForma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horizontal="center" vertical="center" wrapText="1"/>
    </xf>
    <xf numFmtId="4" fontId="0" fillId="0" borderId="9" xfId="0" applyNumberFormat="1" applyBorder="1" applyAlignment="1">
      <alignment horizontal="center" vertical="center" wrapText="1"/>
    </xf>
    <xf numFmtId="4" fontId="0" fillId="0" borderId="10" xfId="0" applyNumberFormat="1" applyBorder="1" applyAlignment="1">
      <alignment horizontal="center" vertical="center" wrapText="1"/>
    </xf>
    <xf numFmtId="4" fontId="0" fillId="0" borderId="3" xfId="0" applyNumberFormat="1" applyBorder="1" applyAlignment="1">
      <alignment horizontal="center" vertical="center" wrapText="1"/>
    </xf>
    <xf numFmtId="0" fontId="2" fillId="2"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0" fillId="0" borderId="11" xfId="0" applyBorder="1" applyAlignment="1">
      <alignment horizontal="center" vertical="center" wrapText="1"/>
    </xf>
    <xf numFmtId="0" fontId="0" fillId="4" borderId="18" xfId="0" applyFill="1" applyBorder="1" applyAlignment="1">
      <alignment horizontal="center" vertical="center" wrapText="1"/>
    </xf>
    <xf numFmtId="0" fontId="0" fillId="4" borderId="1" xfId="0" applyFill="1" applyBorder="1" applyAlignment="1">
      <alignment horizontal="center" vertical="center" wrapText="1"/>
    </xf>
    <xf numFmtId="0" fontId="0" fillId="4" borderId="17" xfId="0"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1" fillId="8" borderId="9"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5" xfId="0" applyFont="1" applyFill="1" applyBorder="1" applyAlignment="1">
      <alignment horizontal="center" vertical="center" wrapText="1"/>
    </xf>
    <xf numFmtId="14" fontId="8" fillId="4" borderId="4" xfId="0" applyNumberFormat="1" applyFont="1" applyFill="1" applyBorder="1" applyAlignment="1">
      <alignment horizontal="center" vertical="center" wrapText="1"/>
    </xf>
    <xf numFmtId="14" fontId="8" fillId="4" borderId="5" xfId="0" applyNumberFormat="1" applyFont="1" applyFill="1" applyBorder="1" applyAlignment="1">
      <alignment horizontal="center" vertical="center" wrapText="1"/>
    </xf>
    <xf numFmtId="14" fontId="8" fillId="4" borderId="6" xfId="0"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2" borderId="1" xfId="0" applyFont="1" applyFill="1" applyBorder="1" applyAlignment="1">
      <alignment horizontal="right" vertical="center" wrapText="1"/>
    </xf>
    <xf numFmtId="0" fontId="9" fillId="2" borderId="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6" fillId="2" borderId="4" xfId="0" applyFont="1" applyFill="1" applyBorder="1" applyAlignment="1">
      <alignment horizontal="right" vertical="center" wrapText="1"/>
    </xf>
    <xf numFmtId="0" fontId="6" fillId="2" borderId="5" xfId="0" applyFont="1" applyFill="1" applyBorder="1" applyAlignment="1">
      <alignment horizontal="right" vertical="center" wrapText="1"/>
    </xf>
    <xf numFmtId="0" fontId="6" fillId="2" borderId="6" xfId="0" applyFont="1" applyFill="1" applyBorder="1" applyAlignment="1">
      <alignment horizontal="right" vertical="center" wrapText="1"/>
    </xf>
    <xf numFmtId="0" fontId="1" fillId="2" borderId="6"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5" xfId="0" applyFont="1" applyFill="1" applyBorder="1" applyAlignment="1">
      <alignment horizontal="center" vertical="center" wrapText="1"/>
    </xf>
  </cellXfs>
  <cellStyles count="2">
    <cellStyle name="Normale" xfId="0" builtinId="0"/>
    <cellStyle name="Percentuale" xfId="1" builtinId="5"/>
  </cellStyles>
  <dxfs count="105">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E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K67"/>
  <sheetViews>
    <sheetView tabSelected="1" workbookViewId="0">
      <pane ySplit="3" topLeftCell="A24" activePane="bottomLeft" state="frozen"/>
      <selection pane="bottomLeft" activeCell="B3" sqref="B3:K3"/>
    </sheetView>
  </sheetViews>
  <sheetFormatPr defaultColWidth="9.140625" defaultRowHeight="15"/>
  <cols>
    <col min="1" max="7" width="20.7109375" style="1" customWidth="1"/>
    <col min="8" max="8" width="20.7109375" style="2" customWidth="1"/>
    <col min="9" max="11" width="20.7109375" style="1" customWidth="1"/>
    <col min="12" max="16384" width="9.140625" style="1"/>
  </cols>
  <sheetData>
    <row r="1" spans="1:11" ht="18.75" customHeight="1">
      <c r="A1" s="116" t="s">
        <v>81</v>
      </c>
      <c r="B1" s="117"/>
      <c r="C1" s="117"/>
      <c r="D1" s="117"/>
      <c r="E1" s="117"/>
      <c r="F1" s="117"/>
      <c r="G1" s="117"/>
      <c r="H1" s="117"/>
      <c r="I1" s="117"/>
      <c r="J1" s="117"/>
      <c r="K1" s="118"/>
    </row>
    <row r="2" spans="1:11" ht="18.75">
      <c r="A2" s="119" t="s">
        <v>82</v>
      </c>
      <c r="B2" s="120"/>
      <c r="C2" s="120"/>
      <c r="D2" s="120"/>
      <c r="E2" s="120"/>
      <c r="F2" s="120"/>
      <c r="G2" s="120"/>
      <c r="H2" s="120"/>
      <c r="I2" s="120"/>
      <c r="J2" s="120"/>
      <c r="K2" s="121"/>
    </row>
    <row r="3" spans="1:11" ht="18.75" customHeight="1">
      <c r="A3" s="27" t="s">
        <v>0</v>
      </c>
      <c r="B3" s="115" t="s">
        <v>1</v>
      </c>
      <c r="C3" s="115"/>
      <c r="D3" s="115"/>
      <c r="E3" s="115"/>
      <c r="F3" s="115"/>
      <c r="G3" s="115"/>
      <c r="H3" s="115"/>
      <c r="I3" s="115"/>
      <c r="J3" s="115"/>
      <c r="K3" s="115"/>
    </row>
    <row r="4" spans="1:11" ht="45">
      <c r="A4" s="28" t="s">
        <v>2</v>
      </c>
      <c r="B4" s="28" t="s">
        <v>3</v>
      </c>
      <c r="C4" s="28" t="s">
        <v>4</v>
      </c>
      <c r="D4" s="28" t="s">
        <v>5</v>
      </c>
      <c r="E4" s="28" t="s">
        <v>42</v>
      </c>
      <c r="F4" s="28" t="s">
        <v>6</v>
      </c>
      <c r="G4" s="28" t="s">
        <v>44</v>
      </c>
      <c r="H4" s="29" t="s">
        <v>43</v>
      </c>
      <c r="I4" s="28" t="s">
        <v>115</v>
      </c>
      <c r="J4" s="28" t="s">
        <v>7</v>
      </c>
      <c r="K4" s="28" t="s">
        <v>8</v>
      </c>
    </row>
    <row r="5" spans="1:11" ht="45">
      <c r="A5" s="3" t="s">
        <v>9</v>
      </c>
      <c r="B5" s="3" t="s">
        <v>10</v>
      </c>
      <c r="C5" s="3" t="s">
        <v>11</v>
      </c>
      <c r="D5" s="3" t="s">
        <v>12</v>
      </c>
      <c r="E5" s="3" t="s">
        <v>13</v>
      </c>
      <c r="F5" s="3" t="s">
        <v>14</v>
      </c>
      <c r="G5" s="3">
        <v>2022</v>
      </c>
      <c r="H5" s="4">
        <v>2999</v>
      </c>
      <c r="I5" s="3" t="s">
        <v>15</v>
      </c>
      <c r="J5" s="3" t="s">
        <v>16</v>
      </c>
      <c r="K5" s="3" t="s">
        <v>17</v>
      </c>
    </row>
    <row r="6" spans="1:11" ht="45">
      <c r="A6" s="3" t="s">
        <v>18</v>
      </c>
      <c r="B6" s="3" t="s">
        <v>19</v>
      </c>
      <c r="C6" s="3" t="s">
        <v>20</v>
      </c>
      <c r="D6" s="3" t="s">
        <v>12</v>
      </c>
      <c r="E6" s="3" t="s">
        <v>13</v>
      </c>
      <c r="F6" s="3" t="s">
        <v>14</v>
      </c>
      <c r="G6" s="3">
        <v>2022</v>
      </c>
      <c r="H6" s="4">
        <v>63</v>
      </c>
      <c r="I6" s="3" t="s">
        <v>15</v>
      </c>
      <c r="J6" s="3" t="s">
        <v>16</v>
      </c>
      <c r="K6" s="3" t="s">
        <v>17</v>
      </c>
    </row>
    <row r="7" spans="1:11" ht="30">
      <c r="A7" s="3" t="s">
        <v>21</v>
      </c>
      <c r="B7" s="3" t="s">
        <v>22</v>
      </c>
      <c r="C7" s="3" t="s">
        <v>23</v>
      </c>
      <c r="D7" s="3" t="s">
        <v>24</v>
      </c>
      <c r="E7" s="3" t="s">
        <v>25</v>
      </c>
      <c r="F7" s="3" t="s">
        <v>14</v>
      </c>
      <c r="G7" s="3">
        <v>2022</v>
      </c>
      <c r="H7" s="4">
        <v>88877.08</v>
      </c>
      <c r="I7" s="3" t="s">
        <v>26</v>
      </c>
      <c r="J7" s="3" t="s">
        <v>16</v>
      </c>
      <c r="K7" s="3" t="s">
        <v>27</v>
      </c>
    </row>
    <row r="8" spans="1:11" ht="30">
      <c r="A8" s="3" t="s">
        <v>28</v>
      </c>
      <c r="B8" s="3" t="s">
        <v>22</v>
      </c>
      <c r="C8" s="3" t="s">
        <v>23</v>
      </c>
      <c r="D8" s="3" t="s">
        <v>29</v>
      </c>
      <c r="E8" s="3" t="s">
        <v>25</v>
      </c>
      <c r="F8" s="3" t="s">
        <v>14</v>
      </c>
      <c r="G8" s="3">
        <v>2022</v>
      </c>
      <c r="H8" s="4">
        <v>35536.313999999998</v>
      </c>
      <c r="I8" s="3" t="s">
        <v>26</v>
      </c>
      <c r="J8" s="3" t="s">
        <v>16</v>
      </c>
      <c r="K8" s="3" t="s">
        <v>27</v>
      </c>
    </row>
    <row r="9" spans="1:11" ht="30">
      <c r="A9" s="3" t="s">
        <v>30</v>
      </c>
      <c r="B9" s="3" t="s">
        <v>22</v>
      </c>
      <c r="C9" s="3" t="s">
        <v>23</v>
      </c>
      <c r="D9" s="3" t="s">
        <v>31</v>
      </c>
      <c r="E9" s="3" t="s">
        <v>32</v>
      </c>
      <c r="F9" s="3" t="s">
        <v>14</v>
      </c>
      <c r="G9" s="3">
        <v>2022</v>
      </c>
      <c r="H9" s="4">
        <v>6682</v>
      </c>
      <c r="I9" s="3" t="s">
        <v>26</v>
      </c>
      <c r="J9" s="3" t="s">
        <v>16</v>
      </c>
      <c r="K9" s="3" t="s">
        <v>27</v>
      </c>
    </row>
    <row r="10" spans="1:11" ht="30">
      <c r="A10" s="3" t="s">
        <v>33</v>
      </c>
      <c r="B10" s="3" t="s">
        <v>22</v>
      </c>
      <c r="C10" s="3" t="s">
        <v>34</v>
      </c>
      <c r="D10" s="3" t="s">
        <v>35</v>
      </c>
      <c r="E10" s="3" t="s">
        <v>32</v>
      </c>
      <c r="F10" s="3" t="s">
        <v>14</v>
      </c>
      <c r="G10" s="3">
        <v>2022</v>
      </c>
      <c r="H10" s="4">
        <v>313009.63</v>
      </c>
      <c r="I10" s="3" t="s">
        <v>26</v>
      </c>
      <c r="J10" s="3" t="s">
        <v>16</v>
      </c>
      <c r="K10" s="3" t="s">
        <v>27</v>
      </c>
    </row>
    <row r="11" spans="1:11" ht="30">
      <c r="A11" s="3" t="s">
        <v>36</v>
      </c>
      <c r="B11" s="3" t="s">
        <v>37</v>
      </c>
      <c r="C11" s="3" t="s">
        <v>34</v>
      </c>
      <c r="D11" s="3" t="s">
        <v>38</v>
      </c>
      <c r="E11" s="3" t="s">
        <v>32</v>
      </c>
      <c r="F11" s="3" t="s">
        <v>14</v>
      </c>
      <c r="G11" s="3">
        <v>2022</v>
      </c>
      <c r="H11" s="4">
        <v>17940</v>
      </c>
      <c r="I11" s="3" t="s">
        <v>26</v>
      </c>
      <c r="J11" s="3" t="s">
        <v>16</v>
      </c>
      <c r="K11" s="3" t="s">
        <v>27</v>
      </c>
    </row>
    <row r="12" spans="1:11" ht="30.75" thickBot="1">
      <c r="A12" s="5" t="s">
        <v>39</v>
      </c>
      <c r="B12" s="5" t="s">
        <v>40</v>
      </c>
      <c r="C12" s="5" t="s">
        <v>34</v>
      </c>
      <c r="D12" s="5" t="s">
        <v>41</v>
      </c>
      <c r="E12" s="5" t="s">
        <v>32</v>
      </c>
      <c r="F12" s="5" t="s">
        <v>14</v>
      </c>
      <c r="G12" s="5">
        <v>2022</v>
      </c>
      <c r="H12" s="6">
        <v>154308</v>
      </c>
      <c r="I12" s="5" t="s">
        <v>26</v>
      </c>
      <c r="J12" s="5" t="s">
        <v>16</v>
      </c>
      <c r="K12" s="5" t="s">
        <v>27</v>
      </c>
    </row>
    <row r="13" spans="1:11" ht="45.75" thickTop="1">
      <c r="A13" s="20" t="s">
        <v>9</v>
      </c>
      <c r="B13" s="20" t="s">
        <v>10</v>
      </c>
      <c r="C13" s="20" t="s">
        <v>11</v>
      </c>
      <c r="D13" s="20" t="s">
        <v>12</v>
      </c>
      <c r="E13" s="20" t="s">
        <v>13</v>
      </c>
      <c r="F13" s="20" t="s">
        <v>14</v>
      </c>
      <c r="G13" s="20">
        <v>2023</v>
      </c>
      <c r="H13" s="21">
        <v>2753</v>
      </c>
      <c r="I13" s="20" t="s">
        <v>15</v>
      </c>
      <c r="J13" s="20" t="s">
        <v>16</v>
      </c>
      <c r="K13" s="20" t="s">
        <v>17</v>
      </c>
    </row>
    <row r="14" spans="1:11" ht="45">
      <c r="A14" s="19" t="s">
        <v>18</v>
      </c>
      <c r="B14" s="19" t="s">
        <v>19</v>
      </c>
      <c r="C14" s="19" t="s">
        <v>20</v>
      </c>
      <c r="D14" s="19" t="s">
        <v>12</v>
      </c>
      <c r="E14" s="19" t="s">
        <v>13</v>
      </c>
      <c r="F14" s="19" t="s">
        <v>14</v>
      </c>
      <c r="G14" s="19">
        <v>2023</v>
      </c>
      <c r="H14" s="22">
        <v>52.398949999999999</v>
      </c>
      <c r="I14" s="19" t="s">
        <v>15</v>
      </c>
      <c r="J14" s="19" t="s">
        <v>16</v>
      </c>
      <c r="K14" s="19" t="s">
        <v>17</v>
      </c>
    </row>
    <row r="15" spans="1:11" ht="30">
      <c r="A15" s="19" t="s">
        <v>21</v>
      </c>
      <c r="B15" s="19" t="s">
        <v>22</v>
      </c>
      <c r="C15" s="19" t="s">
        <v>23</v>
      </c>
      <c r="D15" s="19" t="s">
        <v>24</v>
      </c>
      <c r="E15" s="19" t="s">
        <v>25</v>
      </c>
      <c r="F15" s="19" t="s">
        <v>14</v>
      </c>
      <c r="G15" s="19">
        <v>2023</v>
      </c>
      <c r="H15" s="22">
        <v>81109.25999999998</v>
      </c>
      <c r="I15" s="19" t="s">
        <v>26</v>
      </c>
      <c r="J15" s="19" t="s">
        <v>16</v>
      </c>
      <c r="K15" s="19" t="s">
        <v>27</v>
      </c>
    </row>
    <row r="16" spans="1:11" ht="30">
      <c r="A16" s="19" t="s">
        <v>28</v>
      </c>
      <c r="B16" s="19" t="s">
        <v>22</v>
      </c>
      <c r="C16" s="19" t="s">
        <v>23</v>
      </c>
      <c r="D16" s="19" t="s">
        <v>29</v>
      </c>
      <c r="E16" s="19" t="s">
        <v>25</v>
      </c>
      <c r="F16" s="19" t="s">
        <v>14</v>
      </c>
      <c r="G16" s="19">
        <v>2023</v>
      </c>
      <c r="H16" s="22">
        <v>35359.963000000011</v>
      </c>
      <c r="I16" s="19" t="s">
        <v>26</v>
      </c>
      <c r="J16" s="19" t="s">
        <v>16</v>
      </c>
      <c r="K16" s="19" t="s">
        <v>27</v>
      </c>
    </row>
    <row r="17" spans="1:11" ht="30">
      <c r="A17" s="19" t="s">
        <v>30</v>
      </c>
      <c r="B17" s="19" t="s">
        <v>22</v>
      </c>
      <c r="C17" s="19" t="s">
        <v>23</v>
      </c>
      <c r="D17" s="19" t="s">
        <v>31</v>
      </c>
      <c r="E17" s="19" t="s">
        <v>32</v>
      </c>
      <c r="F17" s="19" t="s">
        <v>14</v>
      </c>
      <c r="G17" s="19">
        <v>2023</v>
      </c>
      <c r="H17" s="22">
        <v>6668.5</v>
      </c>
      <c r="I17" s="19" t="s">
        <v>26</v>
      </c>
      <c r="J17" s="19" t="s">
        <v>16</v>
      </c>
      <c r="K17" s="19" t="s">
        <v>27</v>
      </c>
    </row>
    <row r="18" spans="1:11" ht="30">
      <c r="A18" s="19" t="s">
        <v>33</v>
      </c>
      <c r="B18" s="19" t="s">
        <v>22</v>
      </c>
      <c r="C18" s="19" t="s">
        <v>34</v>
      </c>
      <c r="D18" s="19" t="s">
        <v>35</v>
      </c>
      <c r="E18" s="19" t="s">
        <v>32</v>
      </c>
      <c r="F18" s="19" t="s">
        <v>14</v>
      </c>
      <c r="G18" s="19">
        <v>2023</v>
      </c>
      <c r="H18" s="23">
        <f>304423.09+1860</f>
        <v>306283.09000000003</v>
      </c>
      <c r="I18" s="19" t="s">
        <v>26</v>
      </c>
      <c r="J18" s="19" t="s">
        <v>16</v>
      </c>
      <c r="K18" s="19" t="s">
        <v>27</v>
      </c>
    </row>
    <row r="19" spans="1:11" ht="30">
      <c r="A19" s="19" t="s">
        <v>36</v>
      </c>
      <c r="B19" s="19" t="s">
        <v>37</v>
      </c>
      <c r="C19" s="19" t="s">
        <v>34</v>
      </c>
      <c r="D19" s="19" t="s">
        <v>38</v>
      </c>
      <c r="E19" s="19" t="s">
        <v>32</v>
      </c>
      <c r="F19" s="19" t="s">
        <v>14</v>
      </c>
      <c r="G19" s="19">
        <v>2023</v>
      </c>
      <c r="H19" s="22">
        <v>16570</v>
      </c>
      <c r="I19" s="19" t="s">
        <v>26</v>
      </c>
      <c r="J19" s="19" t="s">
        <v>16</v>
      </c>
      <c r="K19" s="19" t="s">
        <v>27</v>
      </c>
    </row>
    <row r="20" spans="1:11" ht="30.75" thickBot="1">
      <c r="A20" s="41" t="s">
        <v>39</v>
      </c>
      <c r="B20" s="41" t="s">
        <v>40</v>
      </c>
      <c r="C20" s="41" t="s">
        <v>34</v>
      </c>
      <c r="D20" s="41" t="s">
        <v>41</v>
      </c>
      <c r="E20" s="41" t="s">
        <v>32</v>
      </c>
      <c r="F20" s="41" t="s">
        <v>14</v>
      </c>
      <c r="G20" s="41">
        <v>2023</v>
      </c>
      <c r="H20" s="43">
        <f>110760+12918+49200+200</f>
        <v>173078</v>
      </c>
      <c r="I20" s="41" t="s">
        <v>26</v>
      </c>
      <c r="J20" s="41" t="s">
        <v>16</v>
      </c>
      <c r="K20" s="41" t="s">
        <v>27</v>
      </c>
    </row>
    <row r="21" spans="1:11" ht="45.75" thickTop="1">
      <c r="A21" s="38" t="s">
        <v>9</v>
      </c>
      <c r="B21" s="38" t="s">
        <v>10</v>
      </c>
      <c r="C21" s="38" t="s">
        <v>11</v>
      </c>
      <c r="D21" s="38" t="s">
        <v>12</v>
      </c>
      <c r="E21" s="38" t="s">
        <v>13</v>
      </c>
      <c r="F21" s="38" t="s">
        <v>14</v>
      </c>
      <c r="G21" s="38">
        <v>2024</v>
      </c>
      <c r="H21" s="40">
        <v>2033</v>
      </c>
      <c r="I21" s="38" t="s">
        <v>15</v>
      </c>
      <c r="J21" s="38" t="s">
        <v>16</v>
      </c>
      <c r="K21" s="38" t="s">
        <v>17</v>
      </c>
    </row>
    <row r="22" spans="1:11" ht="45">
      <c r="A22" s="3" t="s">
        <v>18</v>
      </c>
      <c r="B22" s="3" t="s">
        <v>19</v>
      </c>
      <c r="C22" s="3" t="s">
        <v>20</v>
      </c>
      <c r="D22" s="3" t="s">
        <v>12</v>
      </c>
      <c r="E22" s="3" t="s">
        <v>13</v>
      </c>
      <c r="F22" s="3" t="s">
        <v>14</v>
      </c>
      <c r="G22" s="3">
        <v>2024</v>
      </c>
      <c r="H22" s="4">
        <v>83.62</v>
      </c>
      <c r="I22" s="3" t="s">
        <v>15</v>
      </c>
      <c r="J22" s="3" t="s">
        <v>16</v>
      </c>
      <c r="K22" s="3" t="s">
        <v>17</v>
      </c>
    </row>
    <row r="23" spans="1:11" ht="30">
      <c r="A23" s="3" t="s">
        <v>21</v>
      </c>
      <c r="B23" s="3" t="s">
        <v>22</v>
      </c>
      <c r="C23" s="3" t="s">
        <v>23</v>
      </c>
      <c r="D23" s="3" t="s">
        <v>24</v>
      </c>
      <c r="E23" s="3" t="s">
        <v>25</v>
      </c>
      <c r="F23" s="3" t="s">
        <v>14</v>
      </c>
      <c r="G23" s="3">
        <v>2024</v>
      </c>
      <c r="H23" s="4">
        <v>50075.35</v>
      </c>
      <c r="I23" s="3" t="s">
        <v>26</v>
      </c>
      <c r="J23" s="3" t="s">
        <v>16</v>
      </c>
      <c r="K23" s="3" t="s">
        <v>27</v>
      </c>
    </row>
    <row r="24" spans="1:11" ht="30">
      <c r="A24" s="3" t="s">
        <v>28</v>
      </c>
      <c r="B24" s="3" t="s">
        <v>22</v>
      </c>
      <c r="C24" s="3" t="s">
        <v>23</v>
      </c>
      <c r="D24" s="3" t="s">
        <v>29</v>
      </c>
      <c r="E24" s="3" t="s">
        <v>25</v>
      </c>
      <c r="F24" s="3" t="s">
        <v>14</v>
      </c>
      <c r="G24" s="3">
        <v>2024</v>
      </c>
      <c r="H24" s="4">
        <v>30708.32</v>
      </c>
      <c r="I24" s="3" t="s">
        <v>26</v>
      </c>
      <c r="J24" s="3" t="s">
        <v>16</v>
      </c>
      <c r="K24" s="3" t="s">
        <v>27</v>
      </c>
    </row>
    <row r="25" spans="1:11" ht="30">
      <c r="A25" s="3" t="s">
        <v>30</v>
      </c>
      <c r="B25" s="3" t="s">
        <v>22</v>
      </c>
      <c r="C25" s="3" t="s">
        <v>23</v>
      </c>
      <c r="D25" s="3" t="s">
        <v>31</v>
      </c>
      <c r="E25" s="3" t="s">
        <v>32</v>
      </c>
      <c r="F25" s="3" t="s">
        <v>14</v>
      </c>
      <c r="G25" s="3">
        <v>2024</v>
      </c>
      <c r="H25" s="4">
        <v>17149.5</v>
      </c>
      <c r="I25" s="3" t="s">
        <v>26</v>
      </c>
      <c r="J25" s="3" t="s">
        <v>16</v>
      </c>
      <c r="K25" s="3" t="s">
        <v>27</v>
      </c>
    </row>
    <row r="26" spans="1:11" ht="30">
      <c r="A26" s="3" t="s">
        <v>33</v>
      </c>
      <c r="B26" s="3" t="s">
        <v>22</v>
      </c>
      <c r="C26" s="3" t="s">
        <v>34</v>
      </c>
      <c r="D26" s="3" t="s">
        <v>35</v>
      </c>
      <c r="E26" s="3" t="s">
        <v>32</v>
      </c>
      <c r="F26" s="3" t="s">
        <v>14</v>
      </c>
      <c r="G26" s="3">
        <v>2024</v>
      </c>
      <c r="H26" s="2">
        <v>226391.05</v>
      </c>
      <c r="I26" s="3" t="s">
        <v>26</v>
      </c>
      <c r="J26" s="3" t="s">
        <v>16</v>
      </c>
      <c r="K26" s="3" t="s">
        <v>27</v>
      </c>
    </row>
    <row r="27" spans="1:11" ht="30">
      <c r="A27" s="3" t="s">
        <v>36</v>
      </c>
      <c r="B27" s="3" t="s">
        <v>37</v>
      </c>
      <c r="C27" s="3" t="s">
        <v>34</v>
      </c>
      <c r="D27" s="3" t="s">
        <v>38</v>
      </c>
      <c r="E27" s="3" t="s">
        <v>32</v>
      </c>
      <c r="F27" s="3" t="s">
        <v>14</v>
      </c>
      <c r="G27" s="3">
        <v>2024</v>
      </c>
      <c r="H27" s="4">
        <v>17365</v>
      </c>
      <c r="I27" s="3" t="s">
        <v>26</v>
      </c>
      <c r="J27" s="3" t="s">
        <v>16</v>
      </c>
      <c r="K27" s="3" t="s">
        <v>27</v>
      </c>
    </row>
    <row r="28" spans="1:11" ht="30.75" thickBot="1">
      <c r="A28" s="5" t="s">
        <v>39</v>
      </c>
      <c r="B28" s="5" t="s">
        <v>40</v>
      </c>
      <c r="C28" s="5" t="s">
        <v>34</v>
      </c>
      <c r="D28" s="5" t="s">
        <v>41</v>
      </c>
      <c r="E28" s="5" t="s">
        <v>32</v>
      </c>
      <c r="F28" s="5" t="s">
        <v>14</v>
      </c>
      <c r="G28" s="5">
        <v>2024</v>
      </c>
      <c r="H28" s="6">
        <v>178565</v>
      </c>
      <c r="I28" s="5" t="s">
        <v>26</v>
      </c>
      <c r="J28" s="5" t="s">
        <v>16</v>
      </c>
      <c r="K28" s="5" t="s">
        <v>27</v>
      </c>
    </row>
    <row r="29" spans="1:11" ht="45.75" thickTop="1">
      <c r="A29" s="20" t="s">
        <v>9</v>
      </c>
      <c r="B29" s="20" t="s">
        <v>10</v>
      </c>
      <c r="C29" s="20" t="s">
        <v>11</v>
      </c>
      <c r="D29" s="20" t="s">
        <v>12</v>
      </c>
      <c r="E29" s="20" t="s">
        <v>13</v>
      </c>
      <c r="F29" s="20" t="s">
        <v>14</v>
      </c>
      <c r="G29" s="20">
        <v>2025</v>
      </c>
      <c r="H29" s="21">
        <v>2744.6853599999999</v>
      </c>
      <c r="I29" s="20" t="s">
        <v>15</v>
      </c>
      <c r="J29" s="20" t="s">
        <v>16</v>
      </c>
      <c r="K29" s="20" t="s">
        <v>17</v>
      </c>
    </row>
    <row r="30" spans="1:11" ht="45">
      <c r="A30" s="20" t="s">
        <v>750</v>
      </c>
      <c r="B30" s="20" t="s">
        <v>10</v>
      </c>
      <c r="C30" s="20" t="s">
        <v>751</v>
      </c>
      <c r="D30" s="19" t="s">
        <v>12</v>
      </c>
      <c r="E30" s="19" t="s">
        <v>13</v>
      </c>
      <c r="F30" s="19" t="s">
        <v>14</v>
      </c>
      <c r="G30" s="20">
        <v>2025</v>
      </c>
      <c r="H30" s="21">
        <v>3.7981500000000001</v>
      </c>
      <c r="I30" s="19" t="s">
        <v>15</v>
      </c>
      <c r="J30" s="19" t="s">
        <v>16</v>
      </c>
      <c r="K30" s="19" t="s">
        <v>17</v>
      </c>
    </row>
    <row r="31" spans="1:11" ht="45">
      <c r="A31" s="19" t="s">
        <v>18</v>
      </c>
      <c r="B31" s="19" t="s">
        <v>19</v>
      </c>
      <c r="C31" s="19" t="s">
        <v>20</v>
      </c>
      <c r="D31" s="19" t="s">
        <v>12</v>
      </c>
      <c r="E31" s="19" t="s">
        <v>13</v>
      </c>
      <c r="F31" s="19" t="s">
        <v>14</v>
      </c>
      <c r="G31" s="20">
        <v>2025</v>
      </c>
      <c r="H31" s="22">
        <v>107.55122</v>
      </c>
      <c r="I31" s="19" t="s">
        <v>15</v>
      </c>
      <c r="J31" s="19" t="s">
        <v>16</v>
      </c>
      <c r="K31" s="19" t="s">
        <v>17</v>
      </c>
    </row>
    <row r="32" spans="1:11" ht="30">
      <c r="A32" s="19" t="s">
        <v>21</v>
      </c>
      <c r="B32" s="19" t="s">
        <v>22</v>
      </c>
      <c r="C32" s="19" t="s">
        <v>23</v>
      </c>
      <c r="D32" s="19" t="s">
        <v>24</v>
      </c>
      <c r="E32" s="19" t="s">
        <v>25</v>
      </c>
      <c r="F32" s="19" t="s">
        <v>14</v>
      </c>
      <c r="G32" s="20">
        <v>2025</v>
      </c>
      <c r="H32" s="22">
        <v>59176.93</v>
      </c>
      <c r="I32" s="19" t="s">
        <v>26</v>
      </c>
      <c r="J32" s="19" t="s">
        <v>16</v>
      </c>
      <c r="K32" s="19" t="s">
        <v>27</v>
      </c>
    </row>
    <row r="33" spans="1:11" ht="30">
      <c r="A33" s="19" t="s">
        <v>28</v>
      </c>
      <c r="B33" s="19" t="s">
        <v>22</v>
      </c>
      <c r="C33" s="19" t="s">
        <v>23</v>
      </c>
      <c r="D33" s="19" t="s">
        <v>29</v>
      </c>
      <c r="E33" s="19" t="s">
        <v>25</v>
      </c>
      <c r="F33" s="19" t="s">
        <v>14</v>
      </c>
      <c r="G33" s="20">
        <v>2025</v>
      </c>
      <c r="H33" s="22">
        <v>36069.03</v>
      </c>
      <c r="I33" s="19" t="s">
        <v>26</v>
      </c>
      <c r="J33" s="19" t="s">
        <v>16</v>
      </c>
      <c r="K33" s="19" t="s">
        <v>27</v>
      </c>
    </row>
    <row r="34" spans="1:11" ht="30">
      <c r="A34" s="19" t="s">
        <v>30</v>
      </c>
      <c r="B34" s="19" t="s">
        <v>22</v>
      </c>
      <c r="C34" s="19" t="s">
        <v>23</v>
      </c>
      <c r="D34" s="19" t="s">
        <v>31</v>
      </c>
      <c r="E34" s="19" t="s">
        <v>32</v>
      </c>
      <c r="F34" s="19" t="s">
        <v>14</v>
      </c>
      <c r="G34" s="20">
        <v>2025</v>
      </c>
      <c r="H34" s="22">
        <v>3500</v>
      </c>
      <c r="I34" s="19" t="s">
        <v>26</v>
      </c>
      <c r="J34" s="19" t="s">
        <v>16</v>
      </c>
      <c r="K34" s="19" t="s">
        <v>27</v>
      </c>
    </row>
    <row r="35" spans="1:11" ht="30">
      <c r="A35" s="19" t="s">
        <v>33</v>
      </c>
      <c r="B35" s="19" t="s">
        <v>22</v>
      </c>
      <c r="C35" s="19" t="s">
        <v>34</v>
      </c>
      <c r="D35" s="19" t="s">
        <v>35</v>
      </c>
      <c r="E35" s="19" t="s">
        <v>32</v>
      </c>
      <c r="F35" s="19" t="s">
        <v>14</v>
      </c>
      <c r="G35" s="20">
        <v>2025</v>
      </c>
      <c r="H35" s="23">
        <f>1127+265820.45+1056-145-0.81</f>
        <v>267857.64</v>
      </c>
      <c r="I35" s="19" t="s">
        <v>26</v>
      </c>
      <c r="J35" s="19" t="s">
        <v>16</v>
      </c>
      <c r="K35" s="19" t="s">
        <v>27</v>
      </c>
    </row>
    <row r="36" spans="1:11" ht="30">
      <c r="A36" s="19" t="s">
        <v>36</v>
      </c>
      <c r="B36" s="19" t="s">
        <v>37</v>
      </c>
      <c r="C36" s="19" t="s">
        <v>34</v>
      </c>
      <c r="D36" s="19" t="s">
        <v>38</v>
      </c>
      <c r="E36" s="19" t="s">
        <v>32</v>
      </c>
      <c r="F36" s="19" t="s">
        <v>14</v>
      </c>
      <c r="G36" s="20">
        <v>2025</v>
      </c>
      <c r="H36" s="22">
        <v>17733</v>
      </c>
      <c r="I36" s="19" t="s">
        <v>26</v>
      </c>
      <c r="J36" s="19" t="s">
        <v>16</v>
      </c>
      <c r="K36" s="19" t="s">
        <v>27</v>
      </c>
    </row>
    <row r="37" spans="1:11" ht="30.75" thickBot="1">
      <c r="A37" s="62" t="s">
        <v>39</v>
      </c>
      <c r="B37" s="62" t="s">
        <v>40</v>
      </c>
      <c r="C37" s="62" t="s">
        <v>34</v>
      </c>
      <c r="D37" s="62" t="s">
        <v>41</v>
      </c>
      <c r="E37" s="62" t="s">
        <v>32</v>
      </c>
      <c r="F37" s="62" t="s">
        <v>14</v>
      </c>
      <c r="G37" s="62">
        <v>2025</v>
      </c>
      <c r="H37" s="63">
        <f>7225+101710+41855+320</f>
        <v>151110</v>
      </c>
      <c r="I37" s="62" t="s">
        <v>26</v>
      </c>
      <c r="J37" s="62" t="s">
        <v>16</v>
      </c>
      <c r="K37" s="62" t="s">
        <v>27</v>
      </c>
    </row>
    <row r="38" spans="1:11" ht="15.75" thickTop="1"/>
    <row r="42" spans="1:11">
      <c r="C42" s="7"/>
      <c r="D42" s="7"/>
      <c r="E42" s="15"/>
      <c r="F42" s="15"/>
      <c r="G42" s="15"/>
      <c r="H42" s="15"/>
      <c r="I42" s="15"/>
      <c r="J42" s="15"/>
      <c r="K42" s="15"/>
    </row>
    <row r="43" spans="1:11">
      <c r="C43" s="7"/>
      <c r="D43" s="7"/>
      <c r="E43" s="8"/>
      <c r="F43" s="7"/>
      <c r="G43" s="7"/>
      <c r="H43" s="7"/>
      <c r="I43" s="7"/>
      <c r="J43" s="9"/>
      <c r="K43" s="7"/>
    </row>
    <row r="44" spans="1:11">
      <c r="C44" s="7"/>
      <c r="D44" s="7"/>
      <c r="E44" s="8"/>
      <c r="F44" s="7"/>
      <c r="G44" s="7"/>
      <c r="H44" s="7"/>
      <c r="I44" s="7"/>
      <c r="J44" s="9"/>
      <c r="K44" s="7"/>
    </row>
    <row r="45" spans="1:11">
      <c r="C45" s="7"/>
      <c r="D45" s="7"/>
      <c r="E45" s="8"/>
      <c r="F45" s="7"/>
      <c r="G45" s="7"/>
      <c r="H45" s="7"/>
      <c r="I45" s="7"/>
      <c r="J45" s="9"/>
      <c r="K45" s="7"/>
    </row>
    <row r="46" spans="1:11">
      <c r="C46" s="7"/>
      <c r="D46" s="7"/>
      <c r="E46" s="8"/>
      <c r="F46" s="7"/>
      <c r="G46" s="7"/>
      <c r="H46" s="7"/>
      <c r="I46" s="7"/>
      <c r="J46" s="9"/>
      <c r="K46" s="7"/>
    </row>
    <row r="47" spans="1:11">
      <c r="C47" s="7"/>
      <c r="D47" s="7"/>
      <c r="E47" s="8"/>
      <c r="F47" s="7"/>
      <c r="G47" s="7"/>
      <c r="H47" s="7"/>
      <c r="I47" s="7"/>
      <c r="J47" s="9"/>
      <c r="K47" s="7"/>
    </row>
    <row r="48" spans="1:11">
      <c r="C48" s="7"/>
      <c r="D48" s="7"/>
      <c r="E48" s="8"/>
      <c r="F48" s="7"/>
      <c r="G48" s="7"/>
      <c r="H48" s="7"/>
      <c r="I48" s="7"/>
      <c r="J48" s="9"/>
      <c r="K48" s="7"/>
    </row>
    <row r="49" spans="3:11">
      <c r="C49" s="7"/>
      <c r="D49" s="7"/>
      <c r="E49" s="8"/>
      <c r="F49" s="7"/>
      <c r="G49" s="7"/>
      <c r="H49" s="7"/>
      <c r="I49" s="7"/>
      <c r="J49" s="9"/>
      <c r="K49" s="7"/>
    </row>
    <row r="50" spans="3:11">
      <c r="C50" s="7"/>
      <c r="D50" s="7"/>
      <c r="E50" s="8"/>
      <c r="F50" s="7"/>
      <c r="G50" s="7"/>
      <c r="H50" s="7"/>
      <c r="I50" s="7"/>
      <c r="J50" s="9"/>
      <c r="K50" s="7"/>
    </row>
    <row r="51" spans="3:11">
      <c r="C51" s="7"/>
      <c r="D51" s="7"/>
      <c r="E51" s="8"/>
      <c r="F51" s="7"/>
      <c r="G51" s="7"/>
      <c r="H51" s="7"/>
      <c r="I51" s="7"/>
      <c r="J51" s="9"/>
      <c r="K51" s="7"/>
    </row>
    <row r="52" spans="3:11">
      <c r="C52" s="7"/>
      <c r="D52" s="7"/>
      <c r="E52" s="8"/>
      <c r="F52" s="7"/>
      <c r="G52" s="7"/>
      <c r="H52" s="7"/>
      <c r="I52" s="7"/>
      <c r="J52" s="9"/>
      <c r="K52" s="7"/>
    </row>
    <row r="53" spans="3:11">
      <c r="C53" s="7"/>
      <c r="D53" s="7"/>
      <c r="E53" s="8"/>
      <c r="F53" s="7"/>
      <c r="G53" s="7"/>
      <c r="H53" s="7"/>
      <c r="I53" s="7"/>
      <c r="J53" s="9"/>
      <c r="K53" s="15"/>
    </row>
    <row r="54" spans="3:11">
      <c r="C54" s="7"/>
      <c r="D54" s="8"/>
      <c r="E54" s="7"/>
      <c r="F54" s="7"/>
      <c r="G54" s="7"/>
      <c r="H54" s="7"/>
      <c r="I54" s="7"/>
      <c r="J54" s="9"/>
      <c r="K54" s="15"/>
    </row>
    <row r="55" spans="3:11">
      <c r="C55" s="7"/>
      <c r="D55" s="7"/>
      <c r="E55" s="8"/>
      <c r="F55" s="7"/>
      <c r="G55" s="7"/>
      <c r="H55" s="7"/>
      <c r="I55" s="7"/>
      <c r="J55" s="9"/>
      <c r="K55" s="7"/>
    </row>
    <row r="56" spans="3:11">
      <c r="C56" s="7"/>
      <c r="D56" s="7"/>
      <c r="E56" s="8"/>
      <c r="F56" s="7"/>
      <c r="G56" s="7"/>
      <c r="H56" s="7"/>
      <c r="I56" s="7"/>
      <c r="J56" s="9"/>
      <c r="K56" s="7"/>
    </row>
    <row r="57" spans="3:11">
      <c r="C57" s="7"/>
      <c r="D57" s="7"/>
      <c r="E57" s="8"/>
      <c r="F57" s="7"/>
      <c r="G57" s="7"/>
      <c r="H57" s="7"/>
      <c r="I57" s="7"/>
      <c r="J57" s="9"/>
      <c r="K57" s="7"/>
    </row>
    <row r="58" spans="3:11">
      <c r="C58" s="7"/>
      <c r="D58" s="7"/>
      <c r="E58" s="8"/>
      <c r="F58" s="7"/>
      <c r="G58" s="7"/>
      <c r="H58" s="7"/>
      <c r="I58" s="7"/>
      <c r="J58" s="9"/>
      <c r="K58" s="7"/>
    </row>
    <row r="59" spans="3:11">
      <c r="C59" s="7"/>
      <c r="D59" s="7"/>
      <c r="E59" s="8"/>
      <c r="F59" s="7"/>
      <c r="G59" s="7"/>
      <c r="H59" s="7"/>
      <c r="I59" s="7"/>
      <c r="J59" s="9"/>
      <c r="K59" s="7"/>
    </row>
    <row r="60" spans="3:11">
      <c r="C60" s="7"/>
      <c r="D60" s="7"/>
      <c r="E60" s="8"/>
      <c r="F60" s="7"/>
      <c r="G60" s="7"/>
      <c r="H60" s="7"/>
      <c r="I60" s="7"/>
      <c r="J60" s="9"/>
      <c r="K60" s="7"/>
    </row>
    <row r="61" spans="3:11">
      <c r="C61" s="7"/>
      <c r="D61" s="7"/>
      <c r="E61" s="8"/>
      <c r="F61" s="7"/>
      <c r="G61" s="7"/>
      <c r="H61" s="7"/>
      <c r="I61" s="7"/>
      <c r="J61" s="9"/>
      <c r="K61" s="7"/>
    </row>
    <row r="62" spans="3:11">
      <c r="C62" s="7"/>
      <c r="D62" s="7"/>
      <c r="E62" s="8"/>
      <c r="F62" s="7"/>
      <c r="G62" s="7"/>
      <c r="H62" s="7"/>
      <c r="I62" s="7"/>
      <c r="J62" s="9"/>
      <c r="K62" s="7"/>
    </row>
    <row r="63" spans="3:11">
      <c r="C63" s="7"/>
      <c r="D63" s="7"/>
      <c r="E63" s="8"/>
      <c r="F63" s="7"/>
      <c r="G63" s="7"/>
      <c r="H63" s="7"/>
      <c r="I63" s="7"/>
      <c r="J63" s="9"/>
      <c r="K63" s="7"/>
    </row>
    <row r="64" spans="3:11">
      <c r="C64" s="7"/>
      <c r="D64" s="7"/>
      <c r="E64" s="8"/>
      <c r="F64" s="7"/>
      <c r="G64" s="7"/>
      <c r="H64" s="7"/>
      <c r="I64" s="7"/>
      <c r="J64" s="9"/>
      <c r="K64" s="7"/>
    </row>
    <row r="65" spans="3:11">
      <c r="C65" s="7"/>
      <c r="D65" s="7"/>
      <c r="E65" s="8"/>
      <c r="F65" s="7"/>
      <c r="G65" s="7"/>
      <c r="H65" s="7"/>
      <c r="I65" s="7"/>
      <c r="J65" s="9"/>
      <c r="K65" s="7"/>
    </row>
    <row r="66" spans="3:11">
      <c r="C66" s="7"/>
      <c r="D66" s="7"/>
      <c r="E66" s="8"/>
      <c r="F66" s="7"/>
      <c r="G66" s="7"/>
      <c r="H66" s="7"/>
      <c r="I66" s="7"/>
      <c r="J66" s="9"/>
      <c r="K66" s="7"/>
    </row>
    <row r="67" spans="3:11">
      <c r="C67" s="7"/>
      <c r="D67" s="7"/>
      <c r="E67" s="8"/>
      <c r="F67" s="7"/>
      <c r="G67" s="7"/>
      <c r="H67" s="7"/>
      <c r="I67" s="7"/>
      <c r="J67" s="9"/>
      <c r="K67" s="7"/>
    </row>
  </sheetData>
  <autoFilter ref="A4:K20" xr:uid="{00000000-0009-0000-0000-000000000000}"/>
  <mergeCells count="3">
    <mergeCell ref="B3:K3"/>
    <mergeCell ref="A1:K1"/>
    <mergeCell ref="A2:K2"/>
  </mergeCells>
  <pageMargins left="0.7" right="0.7" top="0.75" bottom="0.75" header="0.3" footer="0.3"/>
  <pageSetup paperSize="9" scale="57" fitToHeight="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E5FF"/>
  </sheetPr>
  <dimension ref="A1:K122"/>
  <sheetViews>
    <sheetView workbookViewId="0">
      <pane ySplit="4" topLeftCell="A14" activePane="bottomLeft" state="frozen"/>
      <selection pane="bottomLeft" activeCell="O4" sqref="O4"/>
    </sheetView>
  </sheetViews>
  <sheetFormatPr defaultRowHeight="15"/>
  <cols>
    <col min="1" max="1" width="10.7109375" customWidth="1"/>
    <col min="2" max="2" width="30.7109375" customWidth="1"/>
    <col min="3" max="4" width="20.7109375" customWidth="1"/>
    <col min="5" max="6" width="15.7109375" customWidth="1"/>
    <col min="7" max="7" width="20.7109375" customWidth="1"/>
    <col min="8" max="8" width="20.7109375" style="34" customWidth="1"/>
    <col min="9" max="10" width="10.7109375" customWidth="1"/>
    <col min="11" max="11" width="20.7109375" customWidth="1"/>
  </cols>
  <sheetData>
    <row r="1" spans="1:11" s="18" customFormat="1" ht="18.75" customHeight="1">
      <c r="A1" s="144" t="s">
        <v>163</v>
      </c>
      <c r="B1" s="144"/>
      <c r="C1" s="144"/>
      <c r="D1" s="144"/>
      <c r="E1" s="144"/>
      <c r="F1" s="144"/>
      <c r="G1" s="144"/>
      <c r="H1" s="144"/>
      <c r="I1" s="144"/>
      <c r="J1" s="144"/>
      <c r="K1" s="144"/>
    </row>
    <row r="2" spans="1:11" s="18" customFormat="1" ht="18.75" customHeight="1">
      <c r="A2" s="30" t="s">
        <v>164</v>
      </c>
      <c r="B2" s="144" t="s">
        <v>552</v>
      </c>
      <c r="C2" s="144"/>
      <c r="D2" s="144"/>
      <c r="E2" s="144"/>
      <c r="F2" s="144"/>
      <c r="G2" s="144"/>
      <c r="H2" s="144"/>
      <c r="I2" s="144"/>
      <c r="J2" s="144"/>
      <c r="K2" s="144"/>
    </row>
    <row r="3" spans="1:11" s="18" customFormat="1" ht="18.75" customHeight="1">
      <c r="A3" s="153" t="s">
        <v>148</v>
      </c>
      <c r="B3" s="153" t="s">
        <v>62</v>
      </c>
      <c r="C3" s="153" t="s">
        <v>149</v>
      </c>
      <c r="D3" s="153" t="s">
        <v>150</v>
      </c>
      <c r="E3" s="153" t="s">
        <v>171</v>
      </c>
      <c r="F3" s="153" t="s">
        <v>172</v>
      </c>
      <c r="G3" s="155"/>
      <c r="H3" s="146"/>
      <c r="I3" s="153" t="s">
        <v>151</v>
      </c>
      <c r="J3" s="153" t="s">
        <v>7</v>
      </c>
      <c r="K3" s="153" t="s">
        <v>8</v>
      </c>
    </row>
    <row r="4" spans="1:11" ht="75">
      <c r="A4" s="154"/>
      <c r="B4" s="154"/>
      <c r="C4" s="154"/>
      <c r="D4" s="154"/>
      <c r="E4" s="154"/>
      <c r="F4" s="154"/>
      <c r="G4" s="31" t="s">
        <v>774</v>
      </c>
      <c r="H4" s="32" t="s">
        <v>775</v>
      </c>
      <c r="I4" s="154"/>
      <c r="J4" s="154"/>
      <c r="K4" s="154"/>
    </row>
    <row r="5" spans="1:11" ht="45">
      <c r="A5" s="3" t="s">
        <v>167</v>
      </c>
      <c r="B5" s="3" t="s">
        <v>195</v>
      </c>
      <c r="C5" s="3" t="s">
        <v>154</v>
      </c>
      <c r="D5" s="3" t="s">
        <v>155</v>
      </c>
      <c r="E5" s="33">
        <v>44782</v>
      </c>
      <c r="F5" s="3" t="s">
        <v>174</v>
      </c>
      <c r="G5" s="3">
        <v>2.5</v>
      </c>
      <c r="H5" s="4">
        <f>64+2.52</f>
        <v>66.52</v>
      </c>
      <c r="I5" s="3" t="s">
        <v>118</v>
      </c>
      <c r="J5" s="3" t="s">
        <v>16</v>
      </c>
      <c r="K5" s="3" t="s">
        <v>17</v>
      </c>
    </row>
    <row r="6" spans="1:11" ht="45" customHeight="1">
      <c r="A6" s="3" t="s">
        <v>168</v>
      </c>
      <c r="B6" s="3" t="s">
        <v>196</v>
      </c>
      <c r="C6" s="3" t="s">
        <v>154</v>
      </c>
      <c r="D6" s="3" t="s">
        <v>155</v>
      </c>
      <c r="E6" s="33">
        <v>44782</v>
      </c>
      <c r="F6" s="3" t="s">
        <v>175</v>
      </c>
      <c r="G6" s="3">
        <v>2.5</v>
      </c>
      <c r="H6" s="4">
        <f>81+1.73</f>
        <v>82.73</v>
      </c>
      <c r="I6" s="3" t="s">
        <v>118</v>
      </c>
      <c r="J6" s="3" t="s">
        <v>16</v>
      </c>
      <c r="K6" s="3" t="s">
        <v>17</v>
      </c>
    </row>
    <row r="7" spans="1:11" ht="45">
      <c r="A7" s="3" t="s">
        <v>169</v>
      </c>
      <c r="B7" s="3" t="s">
        <v>197</v>
      </c>
      <c r="C7" s="3" t="s">
        <v>154</v>
      </c>
      <c r="D7" s="3" t="s">
        <v>155</v>
      </c>
      <c r="E7" s="33">
        <v>44782</v>
      </c>
      <c r="F7" s="3" t="s">
        <v>176</v>
      </c>
      <c r="G7" s="3">
        <v>2.5</v>
      </c>
      <c r="H7" s="4">
        <f>69+4</f>
        <v>73</v>
      </c>
      <c r="I7" s="3" t="s">
        <v>118</v>
      </c>
      <c r="J7" s="3" t="s">
        <v>16</v>
      </c>
      <c r="K7" s="3" t="s">
        <v>17</v>
      </c>
    </row>
    <row r="8" spans="1:11" ht="45.75" thickBot="1">
      <c r="A8" s="5" t="s">
        <v>170</v>
      </c>
      <c r="B8" s="5" t="s">
        <v>198</v>
      </c>
      <c r="C8" s="5" t="s">
        <v>154</v>
      </c>
      <c r="D8" s="5" t="s">
        <v>155</v>
      </c>
      <c r="E8" s="37">
        <v>44782</v>
      </c>
      <c r="F8" s="5" t="s">
        <v>177</v>
      </c>
      <c r="G8" s="5">
        <v>2.5</v>
      </c>
      <c r="H8" s="6">
        <f>51+0.58</f>
        <v>51.58</v>
      </c>
      <c r="I8" s="5" t="s">
        <v>118</v>
      </c>
      <c r="J8" s="5" t="s">
        <v>16</v>
      </c>
      <c r="K8" s="5" t="s">
        <v>17</v>
      </c>
    </row>
    <row r="9" spans="1:11" ht="45.75" thickTop="1">
      <c r="A9" s="20" t="s">
        <v>167</v>
      </c>
      <c r="B9" s="20" t="s">
        <v>195</v>
      </c>
      <c r="C9" s="20" t="s">
        <v>154</v>
      </c>
      <c r="D9" s="20" t="s">
        <v>155</v>
      </c>
      <c r="E9" s="36">
        <v>45210</v>
      </c>
      <c r="F9" s="20" t="s">
        <v>178</v>
      </c>
      <c r="G9" s="20">
        <v>2.4</v>
      </c>
      <c r="H9" s="21">
        <f>67+1.15</f>
        <v>68.150000000000006</v>
      </c>
      <c r="I9" s="20" t="s">
        <v>118</v>
      </c>
      <c r="J9" s="20" t="s">
        <v>16</v>
      </c>
      <c r="K9" s="20" t="s">
        <v>17</v>
      </c>
    </row>
    <row r="10" spans="1:11" ht="45" customHeight="1">
      <c r="A10" s="19" t="s">
        <v>168</v>
      </c>
      <c r="B10" s="19" t="s">
        <v>196</v>
      </c>
      <c r="C10" s="19" t="s">
        <v>154</v>
      </c>
      <c r="D10" s="19" t="s">
        <v>155</v>
      </c>
      <c r="E10" s="35">
        <v>45210</v>
      </c>
      <c r="F10" s="19" t="s">
        <v>179</v>
      </c>
      <c r="G10" s="19">
        <v>2.6</v>
      </c>
      <c r="H10" s="22">
        <f>78+3.06</f>
        <v>81.06</v>
      </c>
      <c r="I10" s="19" t="s">
        <v>118</v>
      </c>
      <c r="J10" s="19" t="s">
        <v>16</v>
      </c>
      <c r="K10" s="19" t="s">
        <v>17</v>
      </c>
    </row>
    <row r="11" spans="1:11" ht="45">
      <c r="A11" s="19" t="s">
        <v>169</v>
      </c>
      <c r="B11" s="19" t="s">
        <v>197</v>
      </c>
      <c r="C11" s="19" t="s">
        <v>154</v>
      </c>
      <c r="D11" s="19" t="s">
        <v>155</v>
      </c>
      <c r="E11" s="35">
        <v>45210</v>
      </c>
      <c r="F11" s="19" t="s">
        <v>180</v>
      </c>
      <c r="G11" s="19">
        <v>2.5</v>
      </c>
      <c r="H11" s="22">
        <f>77+1</f>
        <v>78</v>
      </c>
      <c r="I11" s="19" t="s">
        <v>118</v>
      </c>
      <c r="J11" s="19" t="s">
        <v>16</v>
      </c>
      <c r="K11" s="19" t="s">
        <v>17</v>
      </c>
    </row>
    <row r="12" spans="1:11" ht="45.75" thickBot="1">
      <c r="A12" s="41" t="s">
        <v>170</v>
      </c>
      <c r="B12" s="41" t="s">
        <v>198</v>
      </c>
      <c r="C12" s="41" t="s">
        <v>154</v>
      </c>
      <c r="D12" s="41" t="s">
        <v>155</v>
      </c>
      <c r="E12" s="42">
        <v>45210</v>
      </c>
      <c r="F12" s="41" t="s">
        <v>181</v>
      </c>
      <c r="G12" s="41">
        <v>2.4</v>
      </c>
      <c r="H12" s="43">
        <f>54</f>
        <v>54</v>
      </c>
      <c r="I12" s="41" t="s">
        <v>118</v>
      </c>
      <c r="J12" s="41" t="s">
        <v>16</v>
      </c>
      <c r="K12" s="41" t="s">
        <v>17</v>
      </c>
    </row>
    <row r="13" spans="1:11" ht="45.75" thickTop="1">
      <c r="A13" s="38" t="s">
        <v>167</v>
      </c>
      <c r="B13" s="38" t="s">
        <v>195</v>
      </c>
      <c r="C13" s="38" t="s">
        <v>154</v>
      </c>
      <c r="D13" s="38" t="s">
        <v>155</v>
      </c>
      <c r="E13" s="39">
        <v>45499</v>
      </c>
      <c r="F13" s="38" t="s">
        <v>182</v>
      </c>
      <c r="G13" s="38">
        <v>2.6</v>
      </c>
      <c r="H13" s="40">
        <f>72</f>
        <v>72</v>
      </c>
      <c r="I13" s="38" t="s">
        <v>118</v>
      </c>
      <c r="J13" s="38" t="s">
        <v>16</v>
      </c>
      <c r="K13" s="38" t="s">
        <v>17</v>
      </c>
    </row>
    <row r="14" spans="1:11" ht="45" customHeight="1">
      <c r="A14" s="3" t="s">
        <v>168</v>
      </c>
      <c r="B14" s="3" t="s">
        <v>196</v>
      </c>
      <c r="C14" s="3" t="s">
        <v>154</v>
      </c>
      <c r="D14" s="3" t="s">
        <v>155</v>
      </c>
      <c r="E14" s="33">
        <v>45499</v>
      </c>
      <c r="F14" s="3" t="s">
        <v>183</v>
      </c>
      <c r="G14" s="3">
        <v>3</v>
      </c>
      <c r="H14" s="4">
        <f>72+10.5</f>
        <v>82.5</v>
      </c>
      <c r="I14" s="3" t="s">
        <v>118</v>
      </c>
      <c r="J14" s="3" t="s">
        <v>16</v>
      </c>
      <c r="K14" s="3" t="s">
        <v>17</v>
      </c>
    </row>
    <row r="15" spans="1:11" ht="45">
      <c r="A15" s="3" t="s">
        <v>169</v>
      </c>
      <c r="B15" s="3" t="s">
        <v>197</v>
      </c>
      <c r="C15" s="3" t="s">
        <v>154</v>
      </c>
      <c r="D15" s="3" t="s">
        <v>155</v>
      </c>
      <c r="E15" s="33">
        <v>45499</v>
      </c>
      <c r="F15" s="3" t="s">
        <v>184</v>
      </c>
      <c r="G15" s="3">
        <v>3.1</v>
      </c>
      <c r="H15" s="4">
        <f>83+13.3</f>
        <v>96.3</v>
      </c>
      <c r="I15" s="3" t="s">
        <v>118</v>
      </c>
      <c r="J15" s="3" t="s">
        <v>16</v>
      </c>
      <c r="K15" s="3" t="s">
        <v>17</v>
      </c>
    </row>
    <row r="16" spans="1:11" ht="45.75" thickBot="1">
      <c r="A16" s="5" t="s">
        <v>170</v>
      </c>
      <c r="B16" s="5" t="s">
        <v>198</v>
      </c>
      <c r="C16" s="5" t="s">
        <v>154</v>
      </c>
      <c r="D16" s="5" t="s">
        <v>155</v>
      </c>
      <c r="E16" s="37">
        <v>45499</v>
      </c>
      <c r="F16" s="5" t="s">
        <v>185</v>
      </c>
      <c r="G16" s="5">
        <v>2.5</v>
      </c>
      <c r="H16" s="6">
        <f>48+10.8</f>
        <v>58.8</v>
      </c>
      <c r="I16" s="5" t="s">
        <v>118</v>
      </c>
      <c r="J16" s="5" t="s">
        <v>16</v>
      </c>
      <c r="K16" s="5" t="s">
        <v>17</v>
      </c>
    </row>
    <row r="17" spans="1:11" ht="45.75" thickTop="1">
      <c r="A17" s="20" t="s">
        <v>167</v>
      </c>
      <c r="B17" s="20" t="s">
        <v>195</v>
      </c>
      <c r="C17" s="20" t="s">
        <v>154</v>
      </c>
      <c r="D17" s="20" t="s">
        <v>155</v>
      </c>
      <c r="E17" s="36">
        <v>46003</v>
      </c>
      <c r="F17" s="20" t="s">
        <v>732</v>
      </c>
      <c r="G17" s="20">
        <v>2.5</v>
      </c>
      <c r="H17" s="21">
        <v>77</v>
      </c>
      <c r="I17" s="20" t="s">
        <v>118</v>
      </c>
      <c r="J17" s="20" t="s">
        <v>16</v>
      </c>
      <c r="K17" s="20" t="s">
        <v>17</v>
      </c>
    </row>
    <row r="18" spans="1:11" ht="45" customHeight="1">
      <c r="A18" s="19" t="s">
        <v>168</v>
      </c>
      <c r="B18" s="19" t="s">
        <v>196</v>
      </c>
      <c r="C18" s="19" t="s">
        <v>154</v>
      </c>
      <c r="D18" s="19" t="s">
        <v>155</v>
      </c>
      <c r="E18" s="36">
        <v>46003</v>
      </c>
      <c r="F18" s="20" t="s">
        <v>733</v>
      </c>
      <c r="G18" s="19">
        <v>2.6</v>
      </c>
      <c r="H18" s="22">
        <f>86+3.06</f>
        <v>89.06</v>
      </c>
      <c r="I18" s="19" t="s">
        <v>118</v>
      </c>
      <c r="J18" s="19" t="s">
        <v>16</v>
      </c>
      <c r="K18" s="19" t="s">
        <v>17</v>
      </c>
    </row>
    <row r="19" spans="1:11" ht="45">
      <c r="A19" s="19" t="s">
        <v>169</v>
      </c>
      <c r="B19" s="19" t="s">
        <v>197</v>
      </c>
      <c r="C19" s="19" t="s">
        <v>154</v>
      </c>
      <c r="D19" s="19" t="s">
        <v>155</v>
      </c>
      <c r="E19" s="36">
        <v>46003</v>
      </c>
      <c r="F19" s="20" t="s">
        <v>734</v>
      </c>
      <c r="G19" s="19">
        <v>2.6</v>
      </c>
      <c r="H19" s="22">
        <f>92+2</f>
        <v>94</v>
      </c>
      <c r="I19" s="19" t="s">
        <v>118</v>
      </c>
      <c r="J19" s="19" t="s">
        <v>16</v>
      </c>
      <c r="K19" s="19" t="s">
        <v>17</v>
      </c>
    </row>
    <row r="20" spans="1:11" ht="45.75" thickBot="1">
      <c r="A20" s="41" t="s">
        <v>170</v>
      </c>
      <c r="B20" s="41" t="s">
        <v>198</v>
      </c>
      <c r="C20" s="41" t="s">
        <v>154</v>
      </c>
      <c r="D20" s="41" t="s">
        <v>155</v>
      </c>
      <c r="E20" s="42">
        <v>46003</v>
      </c>
      <c r="F20" s="41" t="s">
        <v>735</v>
      </c>
      <c r="G20" s="41">
        <v>2.7</v>
      </c>
      <c r="H20" s="43">
        <f>66+0.58</f>
        <v>66.58</v>
      </c>
      <c r="I20" s="41" t="s">
        <v>118</v>
      </c>
      <c r="J20" s="41" t="s">
        <v>16</v>
      </c>
      <c r="K20" s="41" t="s">
        <v>17</v>
      </c>
    </row>
    <row r="21" spans="1:11" ht="15.75" thickTop="1">
      <c r="A21" s="1"/>
      <c r="B21" s="1"/>
      <c r="C21" s="1"/>
      <c r="D21" s="1"/>
      <c r="E21" s="1"/>
      <c r="F21" s="1"/>
      <c r="G21" s="1"/>
      <c r="H21" s="2"/>
      <c r="I21" s="1"/>
      <c r="J21" s="1"/>
      <c r="K21" s="1"/>
    </row>
    <row r="122" spans="8:8">
      <c r="H122" s="4"/>
    </row>
  </sheetData>
  <autoFilter ref="A4:K4" xr:uid="{00000000-0009-0000-0000-000009000000}"/>
  <mergeCells count="12">
    <mergeCell ref="J3:J4"/>
    <mergeCell ref="K3:K4"/>
    <mergeCell ref="A1:K1"/>
    <mergeCell ref="B2:K2"/>
    <mergeCell ref="A3:A4"/>
    <mergeCell ref="B3:B4"/>
    <mergeCell ref="C3:C4"/>
    <mergeCell ref="D3:D4"/>
    <mergeCell ref="E3:E4"/>
    <mergeCell ref="F3:F4"/>
    <mergeCell ref="G3:H3"/>
    <mergeCell ref="I3:I4"/>
  </mergeCells>
  <conditionalFormatting sqref="G5:G2004">
    <cfRule type="cellIs" dxfId="100" priority="10" operator="between">
      <formula>100</formula>
      <formula>1000</formula>
    </cfRule>
    <cfRule type="cellIs" dxfId="99" priority="11" operator="between">
      <formula>80</formula>
      <formula>100</formula>
    </cfRule>
  </conditionalFormatting>
  <conditionalFormatting sqref="H5:H2004">
    <cfRule type="cellIs" dxfId="98" priority="12" operator="between">
      <formula>120</formula>
      <formula>150</formula>
    </cfRule>
    <cfRule type="cellIs" dxfId="97" priority="13" operator="greaterThan">
      <formula>150</formula>
    </cfRule>
  </conditionalFormatting>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E5FF"/>
    <pageSetUpPr fitToPage="1"/>
  </sheetPr>
  <dimension ref="A1:L29"/>
  <sheetViews>
    <sheetView workbookViewId="0">
      <pane ySplit="4" topLeftCell="A20" activePane="bottomLeft" state="frozen"/>
      <selection pane="bottomLeft" activeCell="B2" sqref="B2:L2"/>
    </sheetView>
  </sheetViews>
  <sheetFormatPr defaultRowHeight="15"/>
  <cols>
    <col min="1" max="1" width="10.7109375" customWidth="1"/>
    <col min="2" max="2" width="30.7109375" customWidth="1"/>
    <col min="3" max="4" width="20.7109375" customWidth="1"/>
    <col min="5" max="6" width="15.7109375" customWidth="1"/>
    <col min="7" max="9" width="20.7109375" customWidth="1"/>
    <col min="10" max="11" width="10.7109375" customWidth="1"/>
    <col min="12" max="12" width="20.7109375" customWidth="1"/>
  </cols>
  <sheetData>
    <row r="1" spans="1:12" s="18" customFormat="1" ht="18.75" customHeight="1">
      <c r="A1" s="144" t="s">
        <v>163</v>
      </c>
      <c r="B1" s="144"/>
      <c r="C1" s="144"/>
      <c r="D1" s="144"/>
      <c r="E1" s="144"/>
      <c r="F1" s="144"/>
      <c r="G1" s="144"/>
      <c r="H1" s="144"/>
      <c r="I1" s="144"/>
      <c r="J1" s="144"/>
      <c r="K1" s="144"/>
      <c r="L1" s="144"/>
    </row>
    <row r="2" spans="1:12" s="18" customFormat="1" ht="18.75" customHeight="1">
      <c r="A2" s="30" t="s">
        <v>164</v>
      </c>
      <c r="B2" s="144" t="s">
        <v>553</v>
      </c>
      <c r="C2" s="144"/>
      <c r="D2" s="144"/>
      <c r="E2" s="144"/>
      <c r="F2" s="144"/>
      <c r="G2" s="144"/>
      <c r="H2" s="144"/>
      <c r="I2" s="144"/>
      <c r="J2" s="144"/>
      <c r="K2" s="144"/>
      <c r="L2" s="144"/>
    </row>
    <row r="3" spans="1:12" s="18" customFormat="1" ht="18.75" customHeight="1">
      <c r="A3" s="153" t="s">
        <v>148</v>
      </c>
      <c r="B3" s="153" t="s">
        <v>62</v>
      </c>
      <c r="C3" s="153" t="s">
        <v>149</v>
      </c>
      <c r="D3" s="153" t="s">
        <v>150</v>
      </c>
      <c r="E3" s="153" t="s">
        <v>171</v>
      </c>
      <c r="F3" s="153" t="s">
        <v>172</v>
      </c>
      <c r="G3" s="145" t="s">
        <v>173</v>
      </c>
      <c r="H3" s="155"/>
      <c r="I3" s="155"/>
      <c r="J3" s="153" t="s">
        <v>151</v>
      </c>
      <c r="K3" s="153" t="s">
        <v>7</v>
      </c>
      <c r="L3" s="153" t="s">
        <v>8</v>
      </c>
    </row>
    <row r="4" spans="1:12" ht="105">
      <c r="A4" s="154"/>
      <c r="B4" s="154"/>
      <c r="C4" s="154"/>
      <c r="D4" s="154"/>
      <c r="E4" s="154"/>
      <c r="F4" s="154"/>
      <c r="G4" s="31" t="s">
        <v>776</v>
      </c>
      <c r="H4" s="31" t="s">
        <v>777</v>
      </c>
      <c r="I4" s="31" t="s">
        <v>778</v>
      </c>
      <c r="J4" s="154"/>
      <c r="K4" s="154"/>
      <c r="L4" s="154"/>
    </row>
    <row r="5" spans="1:12" ht="30">
      <c r="A5" s="3" t="s">
        <v>152</v>
      </c>
      <c r="B5" s="3" t="s">
        <v>153</v>
      </c>
      <c r="C5" s="3" t="s">
        <v>154</v>
      </c>
      <c r="D5" s="3" t="s">
        <v>155</v>
      </c>
      <c r="E5" s="33">
        <v>42545</v>
      </c>
      <c r="F5" s="33" t="s">
        <v>555</v>
      </c>
      <c r="G5" s="46">
        <f>0.85+0.55</f>
        <v>1.4</v>
      </c>
      <c r="H5" s="3"/>
      <c r="I5" s="3">
        <f>2+1</f>
        <v>3</v>
      </c>
      <c r="J5" s="3" t="s">
        <v>118</v>
      </c>
      <c r="K5" s="3" t="s">
        <v>156</v>
      </c>
      <c r="L5" s="3" t="s">
        <v>157</v>
      </c>
    </row>
    <row r="6" spans="1:12" ht="45">
      <c r="A6" s="3" t="s">
        <v>779</v>
      </c>
      <c r="B6" s="3" t="s">
        <v>190</v>
      </c>
      <c r="C6" s="3" t="s">
        <v>154</v>
      </c>
      <c r="D6" s="3" t="s">
        <v>155</v>
      </c>
      <c r="E6" s="33">
        <v>42545</v>
      </c>
      <c r="F6" s="33" t="s">
        <v>556</v>
      </c>
      <c r="G6" s="3"/>
      <c r="H6" s="3">
        <v>2.33</v>
      </c>
      <c r="I6" s="3">
        <f>6+2</f>
        <v>8</v>
      </c>
      <c r="J6" s="3" t="s">
        <v>118</v>
      </c>
      <c r="K6" s="3" t="s">
        <v>156</v>
      </c>
      <c r="L6" s="3" t="s">
        <v>157</v>
      </c>
    </row>
    <row r="7" spans="1:12" ht="45">
      <c r="A7" s="3" t="s">
        <v>161</v>
      </c>
      <c r="B7" s="3" t="s">
        <v>192</v>
      </c>
      <c r="C7" s="3" t="s">
        <v>154</v>
      </c>
      <c r="D7" s="3" t="s">
        <v>155</v>
      </c>
      <c r="E7" s="33">
        <v>42545</v>
      </c>
      <c r="F7" s="33" t="s">
        <v>558</v>
      </c>
      <c r="G7" s="3"/>
      <c r="H7" s="3">
        <v>1.35</v>
      </c>
      <c r="I7" s="3">
        <f>9+2</f>
        <v>11</v>
      </c>
      <c r="J7" s="3" t="s">
        <v>118</v>
      </c>
      <c r="K7" s="3" t="s">
        <v>156</v>
      </c>
      <c r="L7" s="3" t="s">
        <v>157</v>
      </c>
    </row>
    <row r="8" spans="1:12" ht="45">
      <c r="A8" s="3" t="s">
        <v>165</v>
      </c>
      <c r="B8" s="3" t="s">
        <v>193</v>
      </c>
      <c r="C8" s="3" t="s">
        <v>154</v>
      </c>
      <c r="D8" s="3" t="s">
        <v>155</v>
      </c>
      <c r="E8" s="33">
        <v>42545</v>
      </c>
      <c r="F8" s="33" t="s">
        <v>559</v>
      </c>
      <c r="G8" s="3"/>
      <c r="H8" s="3">
        <v>0.56000000000000005</v>
      </c>
      <c r="I8" s="3">
        <f>11+1</f>
        <v>12</v>
      </c>
      <c r="J8" s="3" t="s">
        <v>118</v>
      </c>
      <c r="K8" s="3" t="s">
        <v>156</v>
      </c>
      <c r="L8" s="3" t="s">
        <v>157</v>
      </c>
    </row>
    <row r="9" spans="1:12" ht="45.75" thickBot="1">
      <c r="A9" s="64" t="s">
        <v>166</v>
      </c>
      <c r="B9" s="64" t="s">
        <v>194</v>
      </c>
      <c r="C9" s="64" t="s">
        <v>154</v>
      </c>
      <c r="D9" s="64" t="s">
        <v>155</v>
      </c>
      <c r="E9" s="84">
        <v>42545</v>
      </c>
      <c r="F9" s="84" t="s">
        <v>560</v>
      </c>
      <c r="G9" s="64"/>
      <c r="H9" s="64">
        <v>3.36</v>
      </c>
      <c r="I9" s="64">
        <f>6+1</f>
        <v>7</v>
      </c>
      <c r="J9" s="64" t="s">
        <v>118</v>
      </c>
      <c r="K9" s="64" t="s">
        <v>156</v>
      </c>
      <c r="L9" s="64" t="s">
        <v>157</v>
      </c>
    </row>
    <row r="10" spans="1:12" ht="30.75" thickTop="1">
      <c r="A10" s="20" t="s">
        <v>152</v>
      </c>
      <c r="B10" s="20" t="s">
        <v>153</v>
      </c>
      <c r="C10" s="20" t="s">
        <v>154</v>
      </c>
      <c r="D10" s="20" t="s">
        <v>155</v>
      </c>
      <c r="E10" s="112" t="s">
        <v>765</v>
      </c>
      <c r="F10" s="36" t="s">
        <v>554</v>
      </c>
      <c r="G10" s="20">
        <f>2.85+0.28</f>
        <v>3.13</v>
      </c>
      <c r="H10" s="20"/>
      <c r="I10" s="20">
        <f>12+1</f>
        <v>13</v>
      </c>
      <c r="J10" s="20" t="s">
        <v>118</v>
      </c>
      <c r="K10" s="20" t="s">
        <v>156</v>
      </c>
      <c r="L10" s="20" t="s">
        <v>157</v>
      </c>
    </row>
    <row r="11" spans="1:12" ht="45">
      <c r="A11" s="19" t="s">
        <v>779</v>
      </c>
      <c r="B11" s="19" t="s">
        <v>190</v>
      </c>
      <c r="C11" s="19" t="s">
        <v>154</v>
      </c>
      <c r="D11" s="19" t="s">
        <v>155</v>
      </c>
      <c r="E11" s="156" t="s">
        <v>557</v>
      </c>
      <c r="F11" s="157"/>
      <c r="G11" s="157"/>
      <c r="H11" s="157"/>
      <c r="I11" s="158"/>
      <c r="J11" s="19" t="s">
        <v>118</v>
      </c>
      <c r="K11" s="19" t="s">
        <v>156</v>
      </c>
      <c r="L11" s="19" t="s">
        <v>157</v>
      </c>
    </row>
    <row r="12" spans="1:12" ht="45">
      <c r="A12" s="19" t="s">
        <v>161</v>
      </c>
      <c r="B12" s="19" t="s">
        <v>192</v>
      </c>
      <c r="C12" s="19" t="s">
        <v>154</v>
      </c>
      <c r="D12" s="19" t="s">
        <v>155</v>
      </c>
      <c r="E12" s="113" t="s">
        <v>767</v>
      </c>
      <c r="F12" s="19" t="s">
        <v>766</v>
      </c>
      <c r="G12" s="19"/>
      <c r="H12" s="19">
        <f>1.67+0.47</f>
        <v>2.1399999999999997</v>
      </c>
      <c r="I12" s="19">
        <f>15+1</f>
        <v>16</v>
      </c>
      <c r="J12" s="19" t="s">
        <v>118</v>
      </c>
      <c r="K12" s="19" t="s">
        <v>156</v>
      </c>
      <c r="L12" s="19" t="s">
        <v>157</v>
      </c>
    </row>
    <row r="13" spans="1:12" ht="45">
      <c r="A13" s="19" t="s">
        <v>165</v>
      </c>
      <c r="B13" s="19" t="s">
        <v>193</v>
      </c>
      <c r="C13" s="19" t="s">
        <v>154</v>
      </c>
      <c r="D13" s="19" t="s">
        <v>155</v>
      </c>
      <c r="E13" s="113" t="s">
        <v>770</v>
      </c>
      <c r="F13" s="19" t="s">
        <v>768</v>
      </c>
      <c r="G13" s="19"/>
      <c r="H13" s="19">
        <v>3.76</v>
      </c>
      <c r="I13" s="19">
        <v>8</v>
      </c>
      <c r="J13" s="19" t="s">
        <v>118</v>
      </c>
      <c r="K13" s="19" t="s">
        <v>156</v>
      </c>
      <c r="L13" s="19" t="s">
        <v>157</v>
      </c>
    </row>
    <row r="14" spans="1:12" ht="45.75" thickBot="1">
      <c r="A14" s="62" t="s">
        <v>166</v>
      </c>
      <c r="B14" s="62" t="s">
        <v>194</v>
      </c>
      <c r="C14" s="62" t="s">
        <v>154</v>
      </c>
      <c r="D14" s="62" t="s">
        <v>155</v>
      </c>
      <c r="E14" s="114" t="s">
        <v>770</v>
      </c>
      <c r="F14" s="62" t="s">
        <v>769</v>
      </c>
      <c r="G14" s="62"/>
      <c r="H14" s="62">
        <f>2.19+0.36</f>
        <v>2.5499999999999998</v>
      </c>
      <c r="I14" s="62">
        <v>9</v>
      </c>
      <c r="J14" s="62" t="s">
        <v>118</v>
      </c>
      <c r="K14" s="62" t="s">
        <v>156</v>
      </c>
      <c r="L14" s="62" t="s">
        <v>157</v>
      </c>
    </row>
    <row r="15" spans="1:12" ht="30.75" thickTop="1">
      <c r="A15" s="38" t="s">
        <v>152</v>
      </c>
      <c r="B15" s="38" t="s">
        <v>153</v>
      </c>
      <c r="C15" s="38" t="s">
        <v>154</v>
      </c>
      <c r="D15" s="38" t="s">
        <v>155</v>
      </c>
      <c r="E15" s="39">
        <v>44782</v>
      </c>
      <c r="F15" s="38" t="s">
        <v>201</v>
      </c>
      <c r="G15" s="38">
        <v>1.94</v>
      </c>
      <c r="H15" s="38"/>
      <c r="I15" s="38">
        <f>13+4.9</f>
        <v>17.899999999999999</v>
      </c>
      <c r="J15" s="38" t="s">
        <v>118</v>
      </c>
      <c r="K15" s="38" t="s">
        <v>156</v>
      </c>
      <c r="L15" s="38" t="s">
        <v>157</v>
      </c>
    </row>
    <row r="16" spans="1:12" ht="30">
      <c r="A16" s="3" t="s">
        <v>158</v>
      </c>
      <c r="B16" s="3" t="s">
        <v>189</v>
      </c>
      <c r="C16" s="3" t="s">
        <v>154</v>
      </c>
      <c r="D16" s="3" t="s">
        <v>155</v>
      </c>
      <c r="E16" s="3"/>
      <c r="F16" s="3"/>
      <c r="G16" s="3"/>
      <c r="H16" s="44" t="s">
        <v>199</v>
      </c>
      <c r="I16" s="44" t="s">
        <v>199</v>
      </c>
      <c r="J16" s="3" t="s">
        <v>118</v>
      </c>
      <c r="K16" s="3" t="s">
        <v>156</v>
      </c>
      <c r="L16" s="3" t="s">
        <v>157</v>
      </c>
    </row>
    <row r="17" spans="1:12" ht="45">
      <c r="A17" s="3" t="s">
        <v>779</v>
      </c>
      <c r="B17" s="3" t="s">
        <v>190</v>
      </c>
      <c r="C17" s="3" t="s">
        <v>154</v>
      </c>
      <c r="D17" s="3" t="s">
        <v>155</v>
      </c>
      <c r="E17" s="33">
        <v>44817</v>
      </c>
      <c r="F17" s="3" t="s">
        <v>200</v>
      </c>
      <c r="G17" s="3"/>
      <c r="H17" s="3">
        <v>0.45</v>
      </c>
      <c r="I17" s="3">
        <f>4.9+1.86</f>
        <v>6.7600000000000007</v>
      </c>
      <c r="J17" s="3" t="s">
        <v>118</v>
      </c>
      <c r="K17" s="3" t="s">
        <v>156</v>
      </c>
      <c r="L17" s="3" t="s">
        <v>157</v>
      </c>
    </row>
    <row r="18" spans="1:12" ht="45">
      <c r="A18" s="3" t="s">
        <v>160</v>
      </c>
      <c r="B18" s="3" t="s">
        <v>191</v>
      </c>
      <c r="C18" s="3" t="s">
        <v>154</v>
      </c>
      <c r="D18" s="3" t="s">
        <v>155</v>
      </c>
      <c r="E18" s="3"/>
      <c r="F18" s="3"/>
      <c r="G18" s="3"/>
      <c r="H18" s="44" t="s">
        <v>199</v>
      </c>
      <c r="I18" s="44" t="s">
        <v>199</v>
      </c>
      <c r="J18" s="3" t="s">
        <v>118</v>
      </c>
      <c r="K18" s="3" t="s">
        <v>156</v>
      </c>
      <c r="L18" s="3" t="s">
        <v>157</v>
      </c>
    </row>
    <row r="19" spans="1:12" ht="45">
      <c r="A19" s="3" t="s">
        <v>161</v>
      </c>
      <c r="B19" s="3" t="s">
        <v>192</v>
      </c>
      <c r="C19" s="3" t="s">
        <v>154</v>
      </c>
      <c r="D19" s="3" t="s">
        <v>155</v>
      </c>
      <c r="E19" s="33">
        <v>44782</v>
      </c>
      <c r="F19" s="3" t="s">
        <v>188</v>
      </c>
      <c r="G19" s="3"/>
      <c r="H19" s="3">
        <v>0.51</v>
      </c>
      <c r="I19" s="3">
        <f>4.3+0.15</f>
        <v>4.45</v>
      </c>
      <c r="J19" s="3" t="s">
        <v>118</v>
      </c>
      <c r="K19" s="3" t="s">
        <v>156</v>
      </c>
      <c r="L19" s="3" t="s">
        <v>157</v>
      </c>
    </row>
    <row r="20" spans="1:12" ht="45">
      <c r="A20" s="3" t="s">
        <v>165</v>
      </c>
      <c r="B20" s="3" t="s">
        <v>193</v>
      </c>
      <c r="C20" s="3" t="s">
        <v>154</v>
      </c>
      <c r="D20" s="3" t="s">
        <v>155</v>
      </c>
      <c r="E20" s="33">
        <v>44782</v>
      </c>
      <c r="F20" s="3" t="s">
        <v>187</v>
      </c>
      <c r="G20" s="3"/>
      <c r="H20" s="3">
        <v>0.41</v>
      </c>
      <c r="I20" s="3">
        <f>3.9+0.38</f>
        <v>4.28</v>
      </c>
      <c r="J20" s="3" t="s">
        <v>118</v>
      </c>
      <c r="K20" s="3" t="s">
        <v>156</v>
      </c>
      <c r="L20" s="3" t="s">
        <v>157</v>
      </c>
    </row>
    <row r="21" spans="1:12" ht="45.75" thickBot="1">
      <c r="A21" s="5" t="s">
        <v>166</v>
      </c>
      <c r="B21" s="5" t="s">
        <v>194</v>
      </c>
      <c r="C21" s="5" t="s">
        <v>154</v>
      </c>
      <c r="D21" s="5" t="s">
        <v>155</v>
      </c>
      <c r="E21" s="37">
        <v>44782</v>
      </c>
      <c r="F21" s="5" t="s">
        <v>186</v>
      </c>
      <c r="G21" s="5"/>
      <c r="H21" s="5">
        <v>0.54</v>
      </c>
      <c r="I21" s="5">
        <f>3.9+0.58</f>
        <v>4.4799999999999995</v>
      </c>
      <c r="J21" s="5" t="s">
        <v>118</v>
      </c>
      <c r="K21" s="5" t="s">
        <v>156</v>
      </c>
      <c r="L21" s="5" t="s">
        <v>157</v>
      </c>
    </row>
    <row r="22" spans="1:12" ht="30.75" thickTop="1">
      <c r="A22" s="20" t="s">
        <v>152</v>
      </c>
      <c r="B22" s="20" t="s">
        <v>153</v>
      </c>
      <c r="C22" s="20" t="s">
        <v>154</v>
      </c>
      <c r="D22" s="20" t="s">
        <v>155</v>
      </c>
      <c r="E22" s="36">
        <v>46001</v>
      </c>
      <c r="F22" s="20" t="s">
        <v>736</v>
      </c>
      <c r="G22" s="20">
        <f>0.5+0.13</f>
        <v>0.63</v>
      </c>
      <c r="H22" s="20"/>
      <c r="I22" s="20">
        <f>7.8+0.44</f>
        <v>8.24</v>
      </c>
      <c r="J22" s="20" t="s">
        <v>118</v>
      </c>
      <c r="K22" s="20" t="s">
        <v>156</v>
      </c>
      <c r="L22" s="20" t="s">
        <v>157</v>
      </c>
    </row>
    <row r="23" spans="1:12" ht="30">
      <c r="A23" s="19" t="s">
        <v>158</v>
      </c>
      <c r="B23" s="19" t="s">
        <v>189</v>
      </c>
      <c r="C23" s="19" t="s">
        <v>154</v>
      </c>
      <c r="D23" s="19" t="s">
        <v>155</v>
      </c>
      <c r="E23" s="35">
        <v>46001</v>
      </c>
      <c r="F23" s="19" t="s">
        <v>737</v>
      </c>
      <c r="G23" s="19"/>
      <c r="H23" s="97">
        <f>0.86+1.07</f>
        <v>1.9300000000000002</v>
      </c>
      <c r="I23" s="97">
        <f>11+1.97</f>
        <v>12.97</v>
      </c>
      <c r="J23" s="19" t="s">
        <v>118</v>
      </c>
      <c r="K23" s="19" t="s">
        <v>156</v>
      </c>
      <c r="L23" s="19" t="s">
        <v>157</v>
      </c>
    </row>
    <row r="24" spans="1:12" ht="45">
      <c r="A24" s="19" t="s">
        <v>159</v>
      </c>
      <c r="B24" s="19" t="s">
        <v>190</v>
      </c>
      <c r="C24" s="19" t="s">
        <v>154</v>
      </c>
      <c r="D24" s="19" t="s">
        <v>155</v>
      </c>
      <c r="E24" s="35">
        <v>46001</v>
      </c>
      <c r="F24" s="19" t="s">
        <v>738</v>
      </c>
      <c r="G24" s="19"/>
      <c r="H24" s="19">
        <f>1.4+0.32</f>
        <v>1.72</v>
      </c>
      <c r="I24" s="19">
        <f>37+2.08</f>
        <v>39.08</v>
      </c>
      <c r="J24" s="19" t="s">
        <v>118</v>
      </c>
      <c r="K24" s="19" t="s">
        <v>156</v>
      </c>
      <c r="L24" s="19" t="s">
        <v>157</v>
      </c>
    </row>
    <row r="25" spans="1:12" ht="45">
      <c r="A25" s="19" t="s">
        <v>160</v>
      </c>
      <c r="B25" s="19" t="s">
        <v>191</v>
      </c>
      <c r="C25" s="19" t="s">
        <v>154</v>
      </c>
      <c r="D25" s="19" t="s">
        <v>155</v>
      </c>
      <c r="E25" s="35">
        <v>46003</v>
      </c>
      <c r="F25" s="19" t="s">
        <v>739</v>
      </c>
      <c r="G25" s="19"/>
      <c r="H25" s="97">
        <f>1.3+0.12</f>
        <v>1.42</v>
      </c>
      <c r="I25" s="97">
        <f>8+2.74</f>
        <v>10.74</v>
      </c>
      <c r="J25" s="19" t="s">
        <v>118</v>
      </c>
      <c r="K25" s="19" t="s">
        <v>156</v>
      </c>
      <c r="L25" s="19" t="s">
        <v>157</v>
      </c>
    </row>
    <row r="26" spans="1:12" ht="45">
      <c r="A26" s="19" t="s">
        <v>161</v>
      </c>
      <c r="B26" s="19" t="s">
        <v>192</v>
      </c>
      <c r="C26" s="19" t="s">
        <v>154</v>
      </c>
      <c r="D26" s="19" t="s">
        <v>155</v>
      </c>
      <c r="E26" s="35">
        <v>46002</v>
      </c>
      <c r="F26" s="19" t="s">
        <v>740</v>
      </c>
      <c r="G26" s="19"/>
      <c r="H26" s="78">
        <v>0.5</v>
      </c>
      <c r="I26" s="19">
        <f>5.4+0.92</f>
        <v>6.32</v>
      </c>
      <c r="J26" s="19" t="s">
        <v>118</v>
      </c>
      <c r="K26" s="19" t="s">
        <v>156</v>
      </c>
      <c r="L26" s="19" t="s">
        <v>157</v>
      </c>
    </row>
    <row r="27" spans="1:12" ht="45">
      <c r="A27" s="19" t="s">
        <v>165</v>
      </c>
      <c r="B27" s="19" t="s">
        <v>193</v>
      </c>
      <c r="C27" s="19" t="s">
        <v>154</v>
      </c>
      <c r="D27" s="19" t="s">
        <v>155</v>
      </c>
      <c r="E27" s="35">
        <v>46002</v>
      </c>
      <c r="F27" s="19" t="s">
        <v>741</v>
      </c>
      <c r="G27" s="19"/>
      <c r="H27" s="19">
        <v>0.43</v>
      </c>
      <c r="I27" s="19">
        <f>18+3.51</f>
        <v>21.509999999999998</v>
      </c>
      <c r="J27" s="19" t="s">
        <v>118</v>
      </c>
      <c r="K27" s="19" t="s">
        <v>156</v>
      </c>
      <c r="L27" s="19" t="s">
        <v>157</v>
      </c>
    </row>
    <row r="28" spans="1:12" ht="45.75" thickBot="1">
      <c r="A28" s="62" t="s">
        <v>166</v>
      </c>
      <c r="B28" s="62" t="s">
        <v>194</v>
      </c>
      <c r="C28" s="62" t="s">
        <v>154</v>
      </c>
      <c r="D28" s="62" t="s">
        <v>155</v>
      </c>
      <c r="E28" s="83">
        <v>46002</v>
      </c>
      <c r="F28" s="62" t="s">
        <v>742</v>
      </c>
      <c r="G28" s="62"/>
      <c r="H28" s="101">
        <v>0.5</v>
      </c>
      <c r="I28" s="62">
        <f>12+1</f>
        <v>13</v>
      </c>
      <c r="J28" s="62" t="s">
        <v>118</v>
      </c>
      <c r="K28" s="62" t="s">
        <v>156</v>
      </c>
      <c r="L28" s="62" t="s">
        <v>157</v>
      </c>
    </row>
    <row r="29" spans="1:12" ht="15.75" thickTop="1">
      <c r="A29" s="1"/>
      <c r="B29" s="1"/>
      <c r="C29" s="1"/>
      <c r="D29" s="1"/>
      <c r="E29" s="1"/>
      <c r="F29" s="1"/>
      <c r="G29" s="1"/>
      <c r="H29" s="1"/>
      <c r="I29" s="1"/>
      <c r="J29" s="1"/>
      <c r="K29" s="1"/>
      <c r="L29" s="1"/>
    </row>
  </sheetData>
  <autoFilter ref="A4:L4" xr:uid="{00000000-0009-0000-0000-00000A000000}"/>
  <mergeCells count="13">
    <mergeCell ref="E11:I11"/>
    <mergeCell ref="F3:F4"/>
    <mergeCell ref="J3:J4"/>
    <mergeCell ref="K3:K4"/>
    <mergeCell ref="L3:L4"/>
    <mergeCell ref="A1:L1"/>
    <mergeCell ref="B2:L2"/>
    <mergeCell ref="G3:I3"/>
    <mergeCell ref="A3:A4"/>
    <mergeCell ref="B3:B4"/>
    <mergeCell ref="C3:C4"/>
    <mergeCell ref="D3:D4"/>
    <mergeCell ref="E3:E4"/>
  </mergeCells>
  <phoneticPr fontId="14" type="noConversion"/>
  <conditionalFormatting sqref="G1:G1048576">
    <cfRule type="cellIs" dxfId="96" priority="10" operator="between">
      <formula>4</formula>
      <formula>5</formula>
    </cfRule>
  </conditionalFormatting>
  <conditionalFormatting sqref="G5:G2007">
    <cfRule type="cellIs" dxfId="95" priority="9" operator="greaterThan">
      <formula>5</formula>
    </cfRule>
  </conditionalFormatting>
  <conditionalFormatting sqref="H5:H2007">
    <cfRule type="cellIs" dxfId="94" priority="7" operator="greaterThan">
      <formula>10</formula>
    </cfRule>
    <cfRule type="cellIs" dxfId="93" priority="8" operator="between">
      <formula>8</formula>
      <formula>10</formula>
    </cfRule>
  </conditionalFormatting>
  <conditionalFormatting sqref="I5 I10 I15">
    <cfRule type="cellIs" dxfId="92" priority="3" operator="greaterThan">
      <formula>20</formula>
    </cfRule>
    <cfRule type="cellIs" dxfId="91" priority="4" operator="between">
      <formula>16</formula>
      <formula>20</formula>
    </cfRule>
  </conditionalFormatting>
  <conditionalFormatting sqref="I5:I2007">
    <cfRule type="cellIs" dxfId="90" priority="5" operator="greaterThan">
      <formula>50</formula>
    </cfRule>
    <cfRule type="cellIs" dxfId="89" priority="6" operator="between">
      <formula>40</formula>
      <formula>50</formula>
    </cfRule>
  </conditionalFormatting>
  <conditionalFormatting sqref="I22">
    <cfRule type="cellIs" dxfId="88" priority="1" operator="greaterThan">
      <formula>20</formula>
    </cfRule>
    <cfRule type="cellIs" dxfId="87" priority="2" operator="between">
      <formula>16</formula>
      <formula>20</formula>
    </cfRule>
  </conditionalFormatting>
  <pageMargins left="0.7" right="0.7" top="0.75" bottom="0.75" header="0.3" footer="0.3"/>
  <pageSetup paperSize="9" scale="43"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E5FF"/>
  </sheetPr>
  <dimension ref="A1:G5"/>
  <sheetViews>
    <sheetView workbookViewId="0">
      <pane ySplit="3" topLeftCell="A4" activePane="bottomLeft" state="frozen"/>
      <selection pane="bottomLeft" activeCell="B2" sqref="B2:G2"/>
    </sheetView>
  </sheetViews>
  <sheetFormatPr defaultRowHeight="15"/>
  <cols>
    <col min="1" max="7" width="20.7109375" customWidth="1"/>
  </cols>
  <sheetData>
    <row r="1" spans="1:7" s="18" customFormat="1" ht="18.75" customHeight="1">
      <c r="A1" s="144" t="s">
        <v>163</v>
      </c>
      <c r="B1" s="144"/>
      <c r="C1" s="144"/>
      <c r="D1" s="144"/>
      <c r="E1" s="144"/>
      <c r="F1" s="144"/>
      <c r="G1" s="144"/>
    </row>
    <row r="2" spans="1:7" s="18" customFormat="1" ht="18.75" customHeight="1">
      <c r="A2" s="30" t="s">
        <v>202</v>
      </c>
      <c r="B2" s="144" t="s">
        <v>468</v>
      </c>
      <c r="C2" s="144"/>
      <c r="D2" s="144"/>
      <c r="E2" s="144"/>
      <c r="F2" s="144"/>
      <c r="G2" s="144"/>
    </row>
    <row r="3" spans="1:7" ht="45">
      <c r="A3" s="45" t="s">
        <v>203</v>
      </c>
      <c r="B3" s="45" t="s">
        <v>204</v>
      </c>
      <c r="C3" s="45" t="s">
        <v>205</v>
      </c>
      <c r="D3" s="45" t="s">
        <v>206</v>
      </c>
      <c r="E3" s="45" t="s">
        <v>207</v>
      </c>
      <c r="F3" s="45" t="s">
        <v>208</v>
      </c>
      <c r="G3" s="31" t="s">
        <v>8</v>
      </c>
    </row>
    <row r="4" spans="1:7" ht="60">
      <c r="A4" s="3" t="s">
        <v>152</v>
      </c>
      <c r="B4" s="3" t="s">
        <v>153</v>
      </c>
      <c r="C4" s="3" t="s">
        <v>209</v>
      </c>
      <c r="D4" s="3" t="s">
        <v>210</v>
      </c>
      <c r="E4" s="33" t="s">
        <v>211</v>
      </c>
      <c r="F4" s="3" t="s">
        <v>212</v>
      </c>
      <c r="G4" s="3" t="s">
        <v>213</v>
      </c>
    </row>
    <row r="5" spans="1:7" ht="60">
      <c r="A5" s="3" t="s">
        <v>158</v>
      </c>
      <c r="B5" s="3" t="s">
        <v>216</v>
      </c>
      <c r="C5" s="3" t="s">
        <v>214</v>
      </c>
      <c r="D5" s="3" t="s">
        <v>215</v>
      </c>
      <c r="E5" s="3" t="s">
        <v>211</v>
      </c>
      <c r="F5" s="3" t="s">
        <v>212</v>
      </c>
      <c r="G5" s="3" t="s">
        <v>213</v>
      </c>
    </row>
  </sheetData>
  <autoFilter ref="A3:G3" xr:uid="{00000000-0009-0000-0000-00000B000000}"/>
  <mergeCells count="2">
    <mergeCell ref="A1:G1"/>
    <mergeCell ref="B2:G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E5FF"/>
  </sheetPr>
  <dimension ref="A1:H4"/>
  <sheetViews>
    <sheetView workbookViewId="0">
      <pane ySplit="3" topLeftCell="A4" activePane="bottomLeft" state="frozen"/>
      <selection pane="bottomLeft" activeCell="B2" sqref="B2:H2"/>
    </sheetView>
  </sheetViews>
  <sheetFormatPr defaultRowHeight="15"/>
  <cols>
    <col min="1" max="8" width="20.7109375" customWidth="1"/>
  </cols>
  <sheetData>
    <row r="1" spans="1:8" s="18" customFormat="1" ht="18.75" customHeight="1">
      <c r="A1" s="144" t="s">
        <v>217</v>
      </c>
      <c r="B1" s="144"/>
      <c r="C1" s="144"/>
      <c r="D1" s="144"/>
      <c r="E1" s="144"/>
      <c r="F1" s="144"/>
      <c r="G1" s="144"/>
      <c r="H1" s="144"/>
    </row>
    <row r="2" spans="1:8" s="18" customFormat="1" ht="18.75" customHeight="1">
      <c r="A2" s="30" t="s">
        <v>218</v>
      </c>
      <c r="B2" s="144" t="s">
        <v>219</v>
      </c>
      <c r="C2" s="144"/>
      <c r="D2" s="144"/>
      <c r="E2" s="144"/>
      <c r="F2" s="144"/>
      <c r="G2" s="144"/>
      <c r="H2" s="144"/>
    </row>
    <row r="3" spans="1:8" ht="30">
      <c r="A3" s="45" t="s">
        <v>220</v>
      </c>
      <c r="B3" s="45" t="s">
        <v>221</v>
      </c>
      <c r="C3" s="45" t="s">
        <v>222</v>
      </c>
      <c r="D3" s="45" t="s">
        <v>223</v>
      </c>
      <c r="E3" s="45" t="s">
        <v>224</v>
      </c>
      <c r="F3" s="45" t="s">
        <v>601</v>
      </c>
      <c r="G3" s="45" t="s">
        <v>51</v>
      </c>
      <c r="H3" s="31" t="s">
        <v>8</v>
      </c>
    </row>
    <row r="4" spans="1:8" ht="114" customHeight="1">
      <c r="A4" s="159" t="s">
        <v>622</v>
      </c>
      <c r="B4" s="160"/>
      <c r="C4" s="160"/>
      <c r="D4" s="160"/>
      <c r="E4" s="160"/>
      <c r="F4" s="160"/>
      <c r="G4" s="160"/>
      <c r="H4" s="161"/>
    </row>
  </sheetData>
  <mergeCells count="3">
    <mergeCell ref="A1:H1"/>
    <mergeCell ref="B2:H2"/>
    <mergeCell ref="A4:H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E5FF"/>
  </sheetPr>
  <dimension ref="A1:E4"/>
  <sheetViews>
    <sheetView workbookViewId="0">
      <pane ySplit="3" topLeftCell="A4" activePane="bottomLeft" state="frozen"/>
      <selection pane="bottomLeft" activeCell="B2" sqref="B2:E2"/>
    </sheetView>
  </sheetViews>
  <sheetFormatPr defaultRowHeight="15"/>
  <cols>
    <col min="1" max="5" width="20.7109375" customWidth="1"/>
  </cols>
  <sheetData>
    <row r="1" spans="1:5" s="18" customFormat="1" ht="18.75" customHeight="1">
      <c r="A1" s="144" t="s">
        <v>225</v>
      </c>
      <c r="B1" s="144"/>
      <c r="C1" s="144"/>
      <c r="D1" s="144"/>
      <c r="E1" s="144"/>
    </row>
    <row r="2" spans="1:5" s="18" customFormat="1" ht="18.75" customHeight="1">
      <c r="A2" s="30" t="s">
        <v>226</v>
      </c>
      <c r="B2" s="144" t="s">
        <v>227</v>
      </c>
      <c r="C2" s="144"/>
      <c r="D2" s="144"/>
      <c r="E2" s="144"/>
    </row>
    <row r="3" spans="1:5" ht="60">
      <c r="A3" s="88" t="s">
        <v>228</v>
      </c>
      <c r="B3" s="88" t="s">
        <v>229</v>
      </c>
      <c r="C3" s="88" t="s">
        <v>230</v>
      </c>
      <c r="D3" s="88" t="s">
        <v>51</v>
      </c>
      <c r="E3" s="88" t="s">
        <v>8</v>
      </c>
    </row>
    <row r="4" spans="1:5" ht="90">
      <c r="A4" s="3" t="s">
        <v>596</v>
      </c>
      <c r="B4" s="3" t="s">
        <v>597</v>
      </c>
      <c r="C4" s="3" t="s">
        <v>598</v>
      </c>
      <c r="D4" s="3" t="s">
        <v>599</v>
      </c>
      <c r="E4" s="3" t="s">
        <v>600</v>
      </c>
    </row>
  </sheetData>
  <mergeCells count="2">
    <mergeCell ref="A1:E1"/>
    <mergeCell ref="B2:E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sheetPr>
  <dimension ref="A1:M45"/>
  <sheetViews>
    <sheetView workbookViewId="0">
      <pane ySplit="6" topLeftCell="A34" activePane="bottomLeft" state="frozen"/>
      <selection pane="bottomLeft" activeCell="B3" sqref="B3:M3"/>
    </sheetView>
  </sheetViews>
  <sheetFormatPr defaultRowHeight="15"/>
  <cols>
    <col min="1" max="2" width="20.7109375" customWidth="1"/>
    <col min="3" max="11" width="15.7109375" customWidth="1"/>
    <col min="12" max="12" width="10.7109375" customWidth="1"/>
    <col min="13" max="13" width="20.7109375" customWidth="1"/>
  </cols>
  <sheetData>
    <row r="1" spans="1:13" s="1" customFormat="1" ht="18.75" customHeight="1">
      <c r="A1" s="165" t="s">
        <v>231</v>
      </c>
      <c r="B1" s="166"/>
      <c r="C1" s="166"/>
      <c r="D1" s="166"/>
      <c r="E1" s="166"/>
      <c r="F1" s="166"/>
      <c r="G1" s="166"/>
      <c r="H1" s="166"/>
      <c r="I1" s="166"/>
      <c r="J1" s="166"/>
      <c r="K1" s="166"/>
      <c r="L1" s="166"/>
      <c r="M1" s="166"/>
    </row>
    <row r="2" spans="1:13" s="18" customFormat="1" ht="18.75" customHeight="1">
      <c r="A2" s="143" t="s">
        <v>232</v>
      </c>
      <c r="B2" s="143"/>
      <c r="C2" s="143"/>
      <c r="D2" s="143"/>
      <c r="E2" s="143"/>
      <c r="F2" s="143"/>
      <c r="G2" s="143"/>
      <c r="H2" s="143"/>
      <c r="I2" s="143"/>
      <c r="J2" s="143"/>
      <c r="K2" s="143"/>
      <c r="L2" s="143"/>
      <c r="M2" s="143"/>
    </row>
    <row r="3" spans="1:13" s="18" customFormat="1" ht="18.75" customHeight="1">
      <c r="A3" s="10" t="s">
        <v>233</v>
      </c>
      <c r="B3" s="143" t="s">
        <v>234</v>
      </c>
      <c r="C3" s="143"/>
      <c r="D3" s="143"/>
      <c r="E3" s="143"/>
      <c r="F3" s="143"/>
      <c r="G3" s="143"/>
      <c r="H3" s="143"/>
      <c r="I3" s="143"/>
      <c r="J3" s="143"/>
      <c r="K3" s="143"/>
      <c r="L3" s="143"/>
      <c r="M3" s="143"/>
    </row>
    <row r="4" spans="1:13" s="18" customFormat="1" ht="18.75" customHeight="1">
      <c r="A4" s="162" t="s">
        <v>235</v>
      </c>
      <c r="B4" s="162" t="s">
        <v>97</v>
      </c>
      <c r="C4" s="162" t="s">
        <v>171</v>
      </c>
      <c r="D4" s="162" t="s">
        <v>172</v>
      </c>
      <c r="E4" s="167" t="s">
        <v>236</v>
      </c>
      <c r="F4" s="168"/>
      <c r="G4" s="168"/>
      <c r="H4" s="168"/>
      <c r="I4" s="168"/>
      <c r="J4" s="168"/>
      <c r="K4" s="168"/>
      <c r="L4" s="162" t="s">
        <v>151</v>
      </c>
      <c r="M4" s="162" t="s">
        <v>8</v>
      </c>
    </row>
    <row r="5" spans="1:13" s="18" customFormat="1" ht="18.75" customHeight="1">
      <c r="A5" s="163"/>
      <c r="B5" s="163"/>
      <c r="C5" s="163"/>
      <c r="D5" s="163"/>
      <c r="E5" s="11" t="s">
        <v>133</v>
      </c>
      <c r="F5" s="11" t="s">
        <v>133</v>
      </c>
      <c r="G5" s="11" t="s">
        <v>133</v>
      </c>
      <c r="H5" s="11" t="s">
        <v>133</v>
      </c>
      <c r="I5" s="11" t="s">
        <v>133</v>
      </c>
      <c r="J5" s="11" t="s">
        <v>133</v>
      </c>
      <c r="K5" s="11" t="s">
        <v>133</v>
      </c>
      <c r="L5" s="163"/>
      <c r="M5" s="163"/>
    </row>
    <row r="6" spans="1:13" ht="45">
      <c r="A6" s="164"/>
      <c r="B6" s="164"/>
      <c r="C6" s="164"/>
      <c r="D6" s="164"/>
      <c r="E6" s="11" t="s">
        <v>238</v>
      </c>
      <c r="F6" s="11" t="s">
        <v>780</v>
      </c>
      <c r="G6" s="11" t="s">
        <v>781</v>
      </c>
      <c r="H6" s="11" t="s">
        <v>782</v>
      </c>
      <c r="I6" s="11" t="s">
        <v>783</v>
      </c>
      <c r="J6" s="11" t="s">
        <v>784</v>
      </c>
      <c r="K6" s="11" t="s">
        <v>785</v>
      </c>
      <c r="L6" s="164"/>
      <c r="M6" s="164"/>
    </row>
    <row r="7" spans="1:13" ht="30" customHeight="1">
      <c r="A7" s="3" t="s">
        <v>456</v>
      </c>
      <c r="B7" s="3" t="s">
        <v>155</v>
      </c>
      <c r="C7" s="39">
        <v>44579</v>
      </c>
      <c r="D7" s="38" t="s">
        <v>568</v>
      </c>
      <c r="E7" s="3">
        <v>7.23</v>
      </c>
      <c r="F7" s="3">
        <v>815</v>
      </c>
      <c r="G7" s="3">
        <v>16.5</v>
      </c>
      <c r="H7" s="3">
        <v>17.899999999999999</v>
      </c>
      <c r="I7" s="3">
        <v>1.1599999999999999</v>
      </c>
      <c r="J7" s="3">
        <v>0.88</v>
      </c>
      <c r="K7" s="3">
        <v>85.9</v>
      </c>
      <c r="L7" s="3" t="s">
        <v>118</v>
      </c>
      <c r="M7" s="3" t="s">
        <v>237</v>
      </c>
    </row>
    <row r="8" spans="1:13" ht="30" customHeight="1">
      <c r="A8" s="3" t="s">
        <v>456</v>
      </c>
      <c r="B8" s="3" t="s">
        <v>155</v>
      </c>
      <c r="C8" s="39">
        <v>44615</v>
      </c>
      <c r="D8" s="38" t="s">
        <v>569</v>
      </c>
      <c r="E8" s="3">
        <v>6.55</v>
      </c>
      <c r="F8" s="3">
        <v>971</v>
      </c>
      <c r="G8" s="3">
        <v>33.1</v>
      </c>
      <c r="H8" s="3">
        <v>12.3</v>
      </c>
      <c r="I8" s="3">
        <v>1.3</v>
      </c>
      <c r="J8" s="3">
        <v>0.46</v>
      </c>
      <c r="K8" s="87">
        <v>76</v>
      </c>
      <c r="L8" s="3" t="s">
        <v>118</v>
      </c>
      <c r="M8" s="3" t="s">
        <v>237</v>
      </c>
    </row>
    <row r="9" spans="1:13" ht="30" customHeight="1">
      <c r="A9" s="3" t="s">
        <v>456</v>
      </c>
      <c r="B9" s="3" t="s">
        <v>155</v>
      </c>
      <c r="C9" s="39">
        <v>44636</v>
      </c>
      <c r="D9" s="38" t="s">
        <v>570</v>
      </c>
      <c r="E9" s="3">
        <v>6.91</v>
      </c>
      <c r="F9" s="3">
        <v>972</v>
      </c>
      <c r="G9" s="3">
        <v>32.4</v>
      </c>
      <c r="H9" s="3">
        <v>12.3</v>
      </c>
      <c r="I9" s="3">
        <v>1.37</v>
      </c>
      <c r="J9" s="3">
        <v>0.81</v>
      </c>
      <c r="K9" s="3">
        <v>99.7</v>
      </c>
      <c r="L9" s="3" t="s">
        <v>118</v>
      </c>
      <c r="M9" s="3" t="s">
        <v>237</v>
      </c>
    </row>
    <row r="10" spans="1:13" ht="30" customHeight="1">
      <c r="A10" s="3" t="s">
        <v>456</v>
      </c>
      <c r="B10" s="3" t="s">
        <v>155</v>
      </c>
      <c r="C10" s="39">
        <v>44664</v>
      </c>
      <c r="D10" s="38" t="s">
        <v>571</v>
      </c>
      <c r="E10" s="3">
        <v>6.53</v>
      </c>
      <c r="F10" s="3">
        <v>842</v>
      </c>
      <c r="G10" s="3">
        <v>26.5</v>
      </c>
      <c r="H10" s="3">
        <v>14.6</v>
      </c>
      <c r="I10" s="3">
        <v>1.43</v>
      </c>
      <c r="J10" s="3">
        <v>0.36</v>
      </c>
      <c r="K10" s="3">
        <v>53.3</v>
      </c>
      <c r="L10" s="3" t="s">
        <v>118</v>
      </c>
      <c r="M10" s="3" t="s">
        <v>237</v>
      </c>
    </row>
    <row r="11" spans="1:13" ht="30" customHeight="1">
      <c r="A11" s="3" t="s">
        <v>456</v>
      </c>
      <c r="B11" s="3" t="s">
        <v>155</v>
      </c>
      <c r="C11" s="39">
        <v>44684</v>
      </c>
      <c r="D11" s="38" t="s">
        <v>572</v>
      </c>
      <c r="E11" s="3">
        <v>6.81</v>
      </c>
      <c r="F11" s="3">
        <v>851</v>
      </c>
      <c r="G11" s="3">
        <v>35.299999999999997</v>
      </c>
      <c r="H11" s="3">
        <v>12.3</v>
      </c>
      <c r="I11" s="3">
        <v>0.45</v>
      </c>
      <c r="J11" s="3">
        <v>1.2</v>
      </c>
      <c r="K11" s="3">
        <v>52.5</v>
      </c>
      <c r="L11" s="3" t="s">
        <v>118</v>
      </c>
      <c r="M11" s="3" t="s">
        <v>237</v>
      </c>
    </row>
    <row r="12" spans="1:13" ht="30" customHeight="1">
      <c r="A12" s="3" t="s">
        <v>456</v>
      </c>
      <c r="B12" s="3" t="s">
        <v>155</v>
      </c>
      <c r="C12" s="39">
        <v>44728</v>
      </c>
      <c r="D12" s="38" t="s">
        <v>573</v>
      </c>
      <c r="E12" s="3">
        <v>5.78</v>
      </c>
      <c r="F12" s="3">
        <v>916</v>
      </c>
      <c r="G12" s="3">
        <v>27.4</v>
      </c>
      <c r="H12" s="3">
        <v>13.6</v>
      </c>
      <c r="I12" s="3">
        <v>6.88</v>
      </c>
      <c r="J12" s="3">
        <v>1.4</v>
      </c>
      <c r="K12" s="3">
        <v>70.3</v>
      </c>
      <c r="L12" s="3" t="s">
        <v>118</v>
      </c>
      <c r="M12" s="3" t="s">
        <v>237</v>
      </c>
    </row>
    <row r="13" spans="1:13" ht="30" customHeight="1">
      <c r="A13" s="3" t="s">
        <v>456</v>
      </c>
      <c r="B13" s="3" t="s">
        <v>155</v>
      </c>
      <c r="C13" s="39">
        <v>44810</v>
      </c>
      <c r="D13" s="38" t="s">
        <v>574</v>
      </c>
      <c r="E13" s="3">
        <v>6.36</v>
      </c>
      <c r="F13" s="3">
        <v>779</v>
      </c>
      <c r="G13" s="3">
        <v>35.5</v>
      </c>
      <c r="H13" s="87">
        <v>11</v>
      </c>
      <c r="I13" s="3">
        <v>1.25</v>
      </c>
      <c r="J13" s="3">
        <v>0.72</v>
      </c>
      <c r="K13" s="3">
        <v>67.7</v>
      </c>
      <c r="L13" s="3" t="s">
        <v>118</v>
      </c>
      <c r="M13" s="3" t="s">
        <v>237</v>
      </c>
    </row>
    <row r="14" spans="1:13" ht="30" customHeight="1">
      <c r="A14" s="3" t="s">
        <v>456</v>
      </c>
      <c r="B14" s="3" t="s">
        <v>155</v>
      </c>
      <c r="C14" s="39">
        <v>44861</v>
      </c>
      <c r="D14" s="38" t="s">
        <v>575</v>
      </c>
      <c r="E14" s="46">
        <v>6.7</v>
      </c>
      <c r="F14" s="3">
        <v>881</v>
      </c>
      <c r="G14" s="3">
        <v>33.799999999999997</v>
      </c>
      <c r="H14" s="3">
        <v>11.8</v>
      </c>
      <c r="I14" s="3">
        <v>1.44</v>
      </c>
      <c r="J14" s="3">
        <v>2.4500000000000002</v>
      </c>
      <c r="K14" s="3">
        <v>46.5</v>
      </c>
      <c r="L14" s="3" t="s">
        <v>118</v>
      </c>
      <c r="M14" s="3" t="s">
        <v>237</v>
      </c>
    </row>
    <row r="15" spans="1:13" ht="30" customHeight="1" thickBot="1">
      <c r="A15" s="64" t="s">
        <v>456</v>
      </c>
      <c r="B15" s="64" t="s">
        <v>155</v>
      </c>
      <c r="C15" s="84">
        <v>44909</v>
      </c>
      <c r="D15" s="64" t="s">
        <v>576</v>
      </c>
      <c r="E15" s="64">
        <v>7.3</v>
      </c>
      <c r="F15" s="64">
        <v>823</v>
      </c>
      <c r="G15" s="64">
        <v>26.6</v>
      </c>
      <c r="H15" s="64">
        <v>9.5</v>
      </c>
      <c r="I15" s="64">
        <v>1.55</v>
      </c>
      <c r="J15" s="64">
        <v>3.4</v>
      </c>
      <c r="K15" s="64">
        <v>104.1</v>
      </c>
      <c r="L15" s="64" t="s">
        <v>118</v>
      </c>
      <c r="M15" s="64" t="s">
        <v>237</v>
      </c>
    </row>
    <row r="16" spans="1:13" ht="30" customHeight="1" thickTop="1">
      <c r="A16" s="38" t="s">
        <v>456</v>
      </c>
      <c r="B16" s="38" t="s">
        <v>155</v>
      </c>
      <c r="C16" s="39">
        <v>44943</v>
      </c>
      <c r="D16" s="38" t="s">
        <v>577</v>
      </c>
      <c r="E16" s="38">
        <v>7.47</v>
      </c>
      <c r="F16" s="38">
        <v>894</v>
      </c>
      <c r="G16" s="38">
        <v>37.1</v>
      </c>
      <c r="H16" s="38">
        <v>16.2</v>
      </c>
      <c r="I16" s="38">
        <v>0.34</v>
      </c>
      <c r="J16" s="38">
        <v>0.68</v>
      </c>
      <c r="K16" s="38">
        <v>112.9</v>
      </c>
      <c r="L16" s="38" t="s">
        <v>118</v>
      </c>
      <c r="M16" s="38" t="s">
        <v>237</v>
      </c>
    </row>
    <row r="17" spans="1:13" ht="30" customHeight="1">
      <c r="A17" s="3" t="s">
        <v>456</v>
      </c>
      <c r="B17" s="3" t="s">
        <v>155</v>
      </c>
      <c r="C17" s="39">
        <v>44972</v>
      </c>
      <c r="D17" s="38" t="s">
        <v>578</v>
      </c>
      <c r="E17" s="3">
        <v>7.34</v>
      </c>
      <c r="F17" s="3">
        <v>921</v>
      </c>
      <c r="G17" s="3">
        <v>26.2</v>
      </c>
      <c r="H17" s="3">
        <v>20.7</v>
      </c>
      <c r="I17" s="3">
        <v>1.33</v>
      </c>
      <c r="J17" s="3">
        <v>3.25</v>
      </c>
      <c r="K17" s="3">
        <v>94.3</v>
      </c>
      <c r="L17" s="3" t="s">
        <v>118</v>
      </c>
      <c r="M17" s="3" t="s">
        <v>237</v>
      </c>
    </row>
    <row r="18" spans="1:13" ht="30" customHeight="1">
      <c r="A18" s="3" t="s">
        <v>456</v>
      </c>
      <c r="B18" s="3" t="s">
        <v>155</v>
      </c>
      <c r="C18" s="39">
        <v>45008</v>
      </c>
      <c r="D18" s="38" t="s">
        <v>579</v>
      </c>
      <c r="E18" s="3">
        <v>6.75</v>
      </c>
      <c r="F18" s="3">
        <v>809</v>
      </c>
      <c r="G18" s="3">
        <v>29.5</v>
      </c>
      <c r="H18" s="3">
        <v>11.1</v>
      </c>
      <c r="I18" s="3">
        <v>1.45</v>
      </c>
      <c r="J18" s="3">
        <v>1.7</v>
      </c>
      <c r="K18" s="3">
        <v>63.5</v>
      </c>
      <c r="L18" s="3" t="s">
        <v>118</v>
      </c>
      <c r="M18" s="3" t="s">
        <v>237</v>
      </c>
    </row>
    <row r="19" spans="1:13" ht="30" customHeight="1">
      <c r="A19" s="3" t="s">
        <v>456</v>
      </c>
      <c r="B19" s="3" t="s">
        <v>155</v>
      </c>
      <c r="C19" s="39">
        <v>45037</v>
      </c>
      <c r="D19" s="38" t="s">
        <v>580</v>
      </c>
      <c r="E19" s="3">
        <v>6.47</v>
      </c>
      <c r="F19" s="3">
        <v>768</v>
      </c>
      <c r="G19" s="3">
        <v>28.6</v>
      </c>
      <c r="H19" s="3">
        <v>16.2</v>
      </c>
      <c r="I19" s="3">
        <v>1.37</v>
      </c>
      <c r="J19" s="3">
        <v>1.8</v>
      </c>
      <c r="K19" s="3">
        <v>47.4</v>
      </c>
      <c r="L19" s="3" t="s">
        <v>118</v>
      </c>
      <c r="M19" s="3" t="s">
        <v>237</v>
      </c>
    </row>
    <row r="20" spans="1:13" ht="30" customHeight="1">
      <c r="A20" s="3" t="s">
        <v>456</v>
      </c>
      <c r="B20" s="3" t="s">
        <v>155</v>
      </c>
      <c r="C20" s="39">
        <v>45070</v>
      </c>
      <c r="D20" s="38" t="s">
        <v>581</v>
      </c>
      <c r="E20" s="3">
        <v>6.96</v>
      </c>
      <c r="F20" s="3">
        <v>725</v>
      </c>
      <c r="G20" s="3">
        <v>42.5</v>
      </c>
      <c r="H20" s="3">
        <v>11.8</v>
      </c>
      <c r="I20" s="3">
        <v>0.84</v>
      </c>
      <c r="J20" s="3">
        <v>0.76</v>
      </c>
      <c r="K20" s="3">
        <v>54.4</v>
      </c>
      <c r="L20" s="3" t="s">
        <v>118</v>
      </c>
      <c r="M20" s="3" t="s">
        <v>237</v>
      </c>
    </row>
    <row r="21" spans="1:13" ht="30" customHeight="1">
      <c r="A21" s="3" t="s">
        <v>456</v>
      </c>
      <c r="B21" s="3" t="s">
        <v>155</v>
      </c>
      <c r="C21" s="39">
        <v>45097</v>
      </c>
      <c r="D21" s="38" t="s">
        <v>582</v>
      </c>
      <c r="E21" s="3">
        <v>6.98</v>
      </c>
      <c r="F21" s="3">
        <v>809</v>
      </c>
      <c r="G21" s="3">
        <v>40.5</v>
      </c>
      <c r="H21" s="3">
        <v>10.3</v>
      </c>
      <c r="I21" s="3">
        <v>1.24</v>
      </c>
      <c r="J21" s="3">
        <v>0.7</v>
      </c>
      <c r="K21" s="3">
        <v>65.400000000000006</v>
      </c>
      <c r="L21" s="3" t="s">
        <v>118</v>
      </c>
      <c r="M21" s="3" t="s">
        <v>237</v>
      </c>
    </row>
    <row r="22" spans="1:13" ht="30" customHeight="1">
      <c r="A22" s="3" t="s">
        <v>456</v>
      </c>
      <c r="B22" s="3" t="s">
        <v>155</v>
      </c>
      <c r="C22" s="39">
        <v>45183</v>
      </c>
      <c r="D22" s="38" t="s">
        <v>583</v>
      </c>
      <c r="E22" s="46">
        <v>6.9</v>
      </c>
      <c r="F22" s="3">
        <v>621</v>
      </c>
      <c r="G22" s="3">
        <v>33.799999999999997</v>
      </c>
      <c r="H22" s="3">
        <v>13.7</v>
      </c>
      <c r="I22" s="3">
        <v>1.54</v>
      </c>
      <c r="J22" s="3">
        <v>0.34</v>
      </c>
      <c r="K22" s="3">
        <v>41.6</v>
      </c>
      <c r="L22" s="3" t="s">
        <v>118</v>
      </c>
      <c r="M22" s="3" t="s">
        <v>237</v>
      </c>
    </row>
    <row r="23" spans="1:13" ht="30" customHeight="1" thickBot="1">
      <c r="A23" s="64" t="s">
        <v>456</v>
      </c>
      <c r="B23" s="64" t="s">
        <v>155</v>
      </c>
      <c r="C23" s="84">
        <v>45245</v>
      </c>
      <c r="D23" s="64" t="s">
        <v>584</v>
      </c>
      <c r="E23" s="64">
        <v>6.83</v>
      </c>
      <c r="F23" s="64">
        <v>846</v>
      </c>
      <c r="G23" s="103">
        <v>31</v>
      </c>
      <c r="H23" s="64">
        <v>17.100000000000001</v>
      </c>
      <c r="I23" s="64">
        <v>1.55</v>
      </c>
      <c r="J23" s="104">
        <v>0.4</v>
      </c>
      <c r="K23" s="64">
        <v>61.3</v>
      </c>
      <c r="L23" s="64" t="s">
        <v>118</v>
      </c>
      <c r="M23" s="64" t="s">
        <v>237</v>
      </c>
    </row>
    <row r="24" spans="1:13" ht="30" customHeight="1" thickTop="1">
      <c r="A24" s="38" t="s">
        <v>456</v>
      </c>
      <c r="B24" s="38" t="s">
        <v>155</v>
      </c>
      <c r="C24" s="39">
        <v>45307</v>
      </c>
      <c r="D24" s="38" t="s">
        <v>585</v>
      </c>
      <c r="E24" s="38">
        <v>7.69</v>
      </c>
      <c r="F24" s="38">
        <v>829</v>
      </c>
      <c r="G24" s="102">
        <v>36</v>
      </c>
      <c r="H24" s="38">
        <v>14.1</v>
      </c>
      <c r="I24" s="38">
        <v>1.43</v>
      </c>
      <c r="J24" s="38">
        <v>0.32</v>
      </c>
      <c r="K24" s="38">
        <v>105.6</v>
      </c>
      <c r="L24" s="38" t="s">
        <v>118</v>
      </c>
      <c r="M24" s="38" t="s">
        <v>237</v>
      </c>
    </row>
    <row r="25" spans="1:13" ht="30" customHeight="1">
      <c r="A25" s="3" t="s">
        <v>456</v>
      </c>
      <c r="B25" s="3" t="s">
        <v>155</v>
      </c>
      <c r="C25" s="39">
        <v>45330</v>
      </c>
      <c r="D25" s="38" t="s">
        <v>586</v>
      </c>
      <c r="E25" s="3">
        <v>7.28</v>
      </c>
      <c r="F25" s="3">
        <v>852</v>
      </c>
      <c r="G25" s="3">
        <v>19.399999999999999</v>
      </c>
      <c r="H25" s="3">
        <v>13.4</v>
      </c>
      <c r="I25" s="3">
        <v>1.7</v>
      </c>
      <c r="J25" s="3">
        <v>1.05</v>
      </c>
      <c r="K25" s="3">
        <v>87.8</v>
      </c>
      <c r="L25" s="3" t="s">
        <v>118</v>
      </c>
      <c r="M25" s="3" t="s">
        <v>237</v>
      </c>
    </row>
    <row r="26" spans="1:13" ht="30" customHeight="1">
      <c r="A26" s="3" t="s">
        <v>456</v>
      </c>
      <c r="B26" s="3" t="s">
        <v>155</v>
      </c>
      <c r="C26" s="39">
        <v>45392</v>
      </c>
      <c r="D26" s="38" t="s">
        <v>587</v>
      </c>
      <c r="E26" s="46">
        <v>6.8</v>
      </c>
      <c r="F26" s="3">
        <v>760</v>
      </c>
      <c r="G26" s="3">
        <v>29.5</v>
      </c>
      <c r="H26" s="3">
        <v>11.7</v>
      </c>
      <c r="I26" s="3">
        <v>1.94</v>
      </c>
      <c r="J26" s="87">
        <v>2</v>
      </c>
      <c r="K26" s="3">
        <v>53.4</v>
      </c>
      <c r="L26" s="3" t="s">
        <v>118</v>
      </c>
      <c r="M26" s="3" t="s">
        <v>237</v>
      </c>
    </row>
    <row r="27" spans="1:13" ht="30" customHeight="1">
      <c r="A27" s="3" t="s">
        <v>456</v>
      </c>
      <c r="B27" s="3" t="s">
        <v>155</v>
      </c>
      <c r="C27" s="39">
        <v>45439</v>
      </c>
      <c r="D27" s="38" t="s">
        <v>588</v>
      </c>
      <c r="E27" s="38">
        <v>6.45</v>
      </c>
      <c r="F27" s="3">
        <v>674</v>
      </c>
      <c r="G27" s="3">
        <v>13.7</v>
      </c>
      <c r="H27" s="3">
        <v>7.1</v>
      </c>
      <c r="I27" s="3">
        <v>1.08</v>
      </c>
      <c r="J27" s="3">
        <v>1.4</v>
      </c>
      <c r="K27" s="3">
        <v>38.6</v>
      </c>
      <c r="L27" s="3" t="s">
        <v>118</v>
      </c>
      <c r="M27" s="3" t="s">
        <v>237</v>
      </c>
    </row>
    <row r="28" spans="1:13" ht="30" customHeight="1">
      <c r="A28" s="3" t="s">
        <v>456</v>
      </c>
      <c r="B28" s="3" t="s">
        <v>155</v>
      </c>
      <c r="C28" s="39">
        <v>45471</v>
      </c>
      <c r="D28" s="38" t="s">
        <v>589</v>
      </c>
      <c r="E28" s="3">
        <v>6.68</v>
      </c>
      <c r="F28" s="3">
        <v>735</v>
      </c>
      <c r="G28" s="3">
        <v>6.4</v>
      </c>
      <c r="H28" s="3">
        <v>11.1</v>
      </c>
      <c r="I28" s="3">
        <v>1.58</v>
      </c>
      <c r="J28" s="46">
        <v>0.5</v>
      </c>
      <c r="K28" s="3">
        <v>27.7</v>
      </c>
      <c r="L28" s="3" t="s">
        <v>118</v>
      </c>
      <c r="M28" s="3" t="s">
        <v>237</v>
      </c>
    </row>
    <row r="29" spans="1:13" ht="30" customHeight="1">
      <c r="A29" s="3" t="s">
        <v>456</v>
      </c>
      <c r="B29" s="3" t="s">
        <v>155</v>
      </c>
      <c r="C29" s="39">
        <v>45503</v>
      </c>
      <c r="D29" s="38" t="s">
        <v>590</v>
      </c>
      <c r="E29" s="3">
        <v>6.54</v>
      </c>
      <c r="F29" s="3">
        <v>608</v>
      </c>
      <c r="G29" s="3">
        <v>7.3</v>
      </c>
      <c r="H29" s="3">
        <v>8.3000000000000007</v>
      </c>
      <c r="I29" s="3">
        <v>3.32</v>
      </c>
      <c r="J29" s="3">
        <v>0.72</v>
      </c>
      <c r="K29" s="3">
        <v>43.4</v>
      </c>
      <c r="L29" s="3" t="s">
        <v>118</v>
      </c>
      <c r="M29" s="3" t="s">
        <v>237</v>
      </c>
    </row>
    <row r="30" spans="1:13" ht="30">
      <c r="A30" s="3" t="s">
        <v>456</v>
      </c>
      <c r="B30" s="3" t="s">
        <v>155</v>
      </c>
      <c r="C30" s="39">
        <v>45548</v>
      </c>
      <c r="D30" s="3" t="s">
        <v>239</v>
      </c>
      <c r="E30" s="3">
        <v>6.66</v>
      </c>
      <c r="F30" s="3">
        <v>445</v>
      </c>
      <c r="G30" s="3">
        <v>5.2</v>
      </c>
      <c r="H30" s="3">
        <v>6.1</v>
      </c>
      <c r="I30" s="3">
        <v>1.05</v>
      </c>
      <c r="J30" s="3">
        <v>0.6</v>
      </c>
      <c r="K30" s="3">
        <v>16.5</v>
      </c>
      <c r="L30" s="3" t="s">
        <v>118</v>
      </c>
      <c r="M30" s="3" t="s">
        <v>237</v>
      </c>
    </row>
    <row r="31" spans="1:13" ht="30">
      <c r="A31" s="3" t="s">
        <v>456</v>
      </c>
      <c r="B31" s="3" t="s">
        <v>155</v>
      </c>
      <c r="C31" s="33">
        <v>45580</v>
      </c>
      <c r="D31" s="3" t="s">
        <v>378</v>
      </c>
      <c r="E31" s="3">
        <v>6.42</v>
      </c>
      <c r="F31" s="3">
        <v>852</v>
      </c>
      <c r="G31" s="3">
        <v>24.5</v>
      </c>
      <c r="H31" s="3">
        <v>9.1999999999999993</v>
      </c>
      <c r="I31" s="3">
        <v>1.31</v>
      </c>
      <c r="J31" s="3">
        <v>0.7</v>
      </c>
      <c r="K31" s="3">
        <v>51.7</v>
      </c>
      <c r="L31" s="3" t="s">
        <v>118</v>
      </c>
      <c r="M31" s="3" t="s">
        <v>237</v>
      </c>
    </row>
    <row r="32" spans="1:13" ht="30">
      <c r="A32" s="3" t="s">
        <v>456</v>
      </c>
      <c r="B32" s="3" t="s">
        <v>155</v>
      </c>
      <c r="C32" s="33">
        <v>45623</v>
      </c>
      <c r="D32" s="3" t="s">
        <v>422</v>
      </c>
      <c r="E32" s="3" t="s">
        <v>433</v>
      </c>
      <c r="F32" s="3" t="s">
        <v>434</v>
      </c>
      <c r="G32" s="3" t="s">
        <v>435</v>
      </c>
      <c r="H32" s="3" t="s">
        <v>604</v>
      </c>
      <c r="I32" s="3" t="s">
        <v>442</v>
      </c>
      <c r="J32" s="3">
        <v>6.9</v>
      </c>
      <c r="K32" s="3">
        <v>25</v>
      </c>
      <c r="L32" s="3" t="s">
        <v>118</v>
      </c>
      <c r="M32" s="3" t="s">
        <v>432</v>
      </c>
    </row>
    <row r="33" spans="1:13" ht="30.75" thickBot="1">
      <c r="A33" s="64" t="s">
        <v>456</v>
      </c>
      <c r="B33" s="64" t="s">
        <v>155</v>
      </c>
      <c r="C33" s="84">
        <v>45637</v>
      </c>
      <c r="D33" s="64" t="s">
        <v>423</v>
      </c>
      <c r="E33" s="64" t="s">
        <v>436</v>
      </c>
      <c r="F33" s="64" t="s">
        <v>437</v>
      </c>
      <c r="G33" s="64" t="s">
        <v>438</v>
      </c>
      <c r="H33" s="64" t="s">
        <v>603</v>
      </c>
      <c r="I33" s="64" t="s">
        <v>444</v>
      </c>
      <c r="J33" s="64">
        <v>1.1000000000000001</v>
      </c>
      <c r="K33" s="64">
        <v>0.15</v>
      </c>
      <c r="L33" s="64" t="s">
        <v>118</v>
      </c>
      <c r="M33" s="64" t="s">
        <v>432</v>
      </c>
    </row>
    <row r="34" spans="1:13" ht="30.75" thickTop="1">
      <c r="A34" s="38" t="s">
        <v>456</v>
      </c>
      <c r="B34" s="38" t="s">
        <v>155</v>
      </c>
      <c r="C34" s="39">
        <v>45679</v>
      </c>
      <c r="D34" s="38" t="s">
        <v>430</v>
      </c>
      <c r="E34" s="38" t="s">
        <v>439</v>
      </c>
      <c r="F34" s="38" t="s">
        <v>440</v>
      </c>
      <c r="G34" s="38" t="s">
        <v>441</v>
      </c>
      <c r="H34" s="38" t="s">
        <v>602</v>
      </c>
      <c r="I34" s="38" t="s">
        <v>443</v>
      </c>
      <c r="J34" s="38">
        <v>2.1</v>
      </c>
      <c r="K34" s="38">
        <v>32</v>
      </c>
      <c r="L34" s="38" t="s">
        <v>118</v>
      </c>
      <c r="M34" s="38" t="s">
        <v>432</v>
      </c>
    </row>
    <row r="35" spans="1:13" ht="30">
      <c r="A35" s="3" t="s">
        <v>456</v>
      </c>
      <c r="B35" s="3" t="s">
        <v>155</v>
      </c>
      <c r="C35" s="33">
        <v>45713</v>
      </c>
      <c r="D35" s="3" t="s">
        <v>450</v>
      </c>
      <c r="E35" s="3">
        <v>7.67</v>
      </c>
      <c r="F35" s="3" t="s">
        <v>451</v>
      </c>
      <c r="G35" s="3" t="s">
        <v>452</v>
      </c>
      <c r="H35" s="3">
        <v>13</v>
      </c>
      <c r="I35" s="3" t="s">
        <v>443</v>
      </c>
      <c r="J35" s="3">
        <v>1.8</v>
      </c>
      <c r="K35" s="3">
        <v>42</v>
      </c>
      <c r="L35" s="3" t="s">
        <v>118</v>
      </c>
      <c r="M35" s="3" t="s">
        <v>432</v>
      </c>
    </row>
    <row r="36" spans="1:13" ht="30">
      <c r="A36" s="3" t="s">
        <v>456</v>
      </c>
      <c r="B36" s="3" t="s">
        <v>155</v>
      </c>
      <c r="C36" s="33">
        <v>45737</v>
      </c>
      <c r="D36" s="3" t="s">
        <v>459</v>
      </c>
      <c r="E36" s="3" t="s">
        <v>460</v>
      </c>
      <c r="F36" s="3" t="s">
        <v>461</v>
      </c>
      <c r="G36" s="3" t="s">
        <v>463</v>
      </c>
      <c r="H36" s="3">
        <v>4.2</v>
      </c>
      <c r="I36" s="3" t="s">
        <v>462</v>
      </c>
      <c r="J36" s="3">
        <v>2.9</v>
      </c>
      <c r="K36" s="3">
        <v>52</v>
      </c>
      <c r="L36" s="3" t="s">
        <v>118</v>
      </c>
      <c r="M36" s="3" t="s">
        <v>432</v>
      </c>
    </row>
    <row r="37" spans="1:13" ht="30">
      <c r="A37" s="3" t="s">
        <v>456</v>
      </c>
      <c r="B37" s="3" t="s">
        <v>155</v>
      </c>
      <c r="C37" s="33">
        <v>45757</v>
      </c>
      <c r="D37" s="3" t="s">
        <v>661</v>
      </c>
      <c r="E37" s="3" t="s">
        <v>662</v>
      </c>
      <c r="F37" s="3" t="s">
        <v>663</v>
      </c>
      <c r="G37" s="3" t="s">
        <v>664</v>
      </c>
      <c r="H37" s="3">
        <v>6.8</v>
      </c>
      <c r="I37" s="3" t="s">
        <v>665</v>
      </c>
      <c r="J37" s="3">
        <v>3.8</v>
      </c>
      <c r="K37" s="3">
        <v>36</v>
      </c>
      <c r="L37" s="3" t="s">
        <v>118</v>
      </c>
      <c r="M37" s="3" t="s">
        <v>432</v>
      </c>
    </row>
    <row r="38" spans="1:13" ht="30">
      <c r="A38" s="3" t="s">
        <v>456</v>
      </c>
      <c r="B38" s="3" t="s">
        <v>155</v>
      </c>
      <c r="C38" s="33">
        <v>45790</v>
      </c>
      <c r="D38" s="3" t="s">
        <v>682</v>
      </c>
      <c r="E38" s="3" t="s">
        <v>683</v>
      </c>
      <c r="F38" s="3" t="s">
        <v>684</v>
      </c>
      <c r="G38" s="3" t="s">
        <v>685</v>
      </c>
      <c r="H38" s="3" t="s">
        <v>678</v>
      </c>
      <c r="I38" s="3" t="s">
        <v>686</v>
      </c>
      <c r="J38" s="3">
        <v>1.9</v>
      </c>
      <c r="K38" s="3">
        <v>55</v>
      </c>
      <c r="L38" s="3" t="s">
        <v>118</v>
      </c>
      <c r="M38" s="3" t="s">
        <v>432</v>
      </c>
    </row>
    <row r="39" spans="1:13" ht="30">
      <c r="A39" s="3" t="s">
        <v>456</v>
      </c>
      <c r="B39" s="3" t="s">
        <v>155</v>
      </c>
      <c r="C39" s="33">
        <v>45832</v>
      </c>
      <c r="D39" s="3" t="s">
        <v>668</v>
      </c>
      <c r="E39" s="3" t="s">
        <v>669</v>
      </c>
      <c r="F39" s="3" t="s">
        <v>670</v>
      </c>
      <c r="G39" s="3" t="s">
        <v>672</v>
      </c>
      <c r="H39" s="3">
        <v>9.4</v>
      </c>
      <c r="I39" s="3" t="s">
        <v>671</v>
      </c>
      <c r="J39" s="3">
        <v>0.78</v>
      </c>
      <c r="K39" s="3">
        <v>48</v>
      </c>
      <c r="L39" s="3" t="s">
        <v>118</v>
      </c>
      <c r="M39" s="3" t="s">
        <v>432</v>
      </c>
    </row>
    <row r="40" spans="1:13" ht="30">
      <c r="A40" s="3" t="s">
        <v>456</v>
      </c>
      <c r="B40" s="3" t="s">
        <v>155</v>
      </c>
      <c r="C40" s="33">
        <v>45853</v>
      </c>
      <c r="D40" s="3" t="s">
        <v>674</v>
      </c>
      <c r="E40" s="3" t="s">
        <v>675</v>
      </c>
      <c r="F40" s="3" t="s">
        <v>676</v>
      </c>
      <c r="G40" s="3" t="s">
        <v>677</v>
      </c>
      <c r="H40" s="3" t="s">
        <v>678</v>
      </c>
      <c r="I40" s="3" t="s">
        <v>679</v>
      </c>
      <c r="J40" s="3">
        <v>0.77</v>
      </c>
      <c r="K40" s="3">
        <v>89</v>
      </c>
      <c r="L40" s="3" t="s">
        <v>118</v>
      </c>
      <c r="M40" s="3" t="s">
        <v>432</v>
      </c>
    </row>
    <row r="41" spans="1:13" ht="30">
      <c r="A41" s="3" t="s">
        <v>456</v>
      </c>
      <c r="B41" s="3" t="s">
        <v>155</v>
      </c>
      <c r="C41" s="33">
        <v>45904</v>
      </c>
      <c r="D41" s="3" t="s">
        <v>689</v>
      </c>
      <c r="E41" s="3" t="s">
        <v>690</v>
      </c>
      <c r="F41" s="3" t="s">
        <v>691</v>
      </c>
      <c r="G41" s="3" t="s">
        <v>692</v>
      </c>
      <c r="H41" s="3">
        <v>15</v>
      </c>
      <c r="I41" s="3" t="s">
        <v>693</v>
      </c>
      <c r="J41" s="3">
        <v>0.82</v>
      </c>
      <c r="K41" s="3">
        <v>62</v>
      </c>
      <c r="L41" s="3" t="s">
        <v>118</v>
      </c>
      <c r="M41" s="3" t="s">
        <v>432</v>
      </c>
    </row>
    <row r="42" spans="1:13" ht="30">
      <c r="A42" s="3" t="s">
        <v>456</v>
      </c>
      <c r="B42" s="3" t="s">
        <v>155</v>
      </c>
      <c r="C42" s="33">
        <v>45939</v>
      </c>
      <c r="D42" s="3" t="s">
        <v>695</v>
      </c>
      <c r="E42" s="3" t="s">
        <v>696</v>
      </c>
      <c r="F42" s="3" t="s">
        <v>697</v>
      </c>
      <c r="G42" s="3" t="s">
        <v>699</v>
      </c>
      <c r="H42" s="3">
        <v>4.4000000000000004</v>
      </c>
      <c r="I42" s="3" t="s">
        <v>698</v>
      </c>
      <c r="J42" s="3">
        <v>0.43</v>
      </c>
      <c r="K42" s="3">
        <v>61</v>
      </c>
      <c r="L42" s="3" t="s">
        <v>118</v>
      </c>
      <c r="M42" s="3" t="s">
        <v>432</v>
      </c>
    </row>
    <row r="43" spans="1:13" ht="30">
      <c r="A43" s="3" t="s">
        <v>456</v>
      </c>
      <c r="B43" s="3" t="s">
        <v>155</v>
      </c>
      <c r="C43" s="33">
        <v>45974</v>
      </c>
      <c r="D43" s="3" t="s">
        <v>702</v>
      </c>
      <c r="E43" s="3" t="s">
        <v>703</v>
      </c>
      <c r="F43" s="3" t="s">
        <v>704</v>
      </c>
      <c r="G43" s="3" t="s">
        <v>706</v>
      </c>
      <c r="H43" s="3">
        <v>5.3</v>
      </c>
      <c r="I43" s="3" t="s">
        <v>705</v>
      </c>
      <c r="J43" s="3">
        <v>0.38</v>
      </c>
      <c r="K43" s="3">
        <v>46</v>
      </c>
      <c r="L43" s="3" t="s">
        <v>118</v>
      </c>
      <c r="M43" s="3" t="s">
        <v>432</v>
      </c>
    </row>
    <row r="44" spans="1:13" ht="30">
      <c r="A44" s="3" t="s">
        <v>456</v>
      </c>
      <c r="B44" s="3" t="s">
        <v>155</v>
      </c>
      <c r="C44" s="33">
        <v>46009</v>
      </c>
      <c r="D44" s="3" t="s">
        <v>743</v>
      </c>
      <c r="E44" s="3" t="s">
        <v>744</v>
      </c>
      <c r="F44" s="3" t="s">
        <v>745</v>
      </c>
      <c r="G44" s="3" t="s">
        <v>746</v>
      </c>
      <c r="H44" s="3">
        <v>19</v>
      </c>
      <c r="I44" s="3" t="s">
        <v>747</v>
      </c>
      <c r="J44" s="3">
        <v>0.6</v>
      </c>
      <c r="K44" s="3">
        <v>59</v>
      </c>
      <c r="L44" s="3" t="s">
        <v>118</v>
      </c>
      <c r="M44" s="3" t="s">
        <v>432</v>
      </c>
    </row>
    <row r="45" spans="1:13">
      <c r="A45" s="1"/>
      <c r="B45" s="1"/>
      <c r="C45" s="1"/>
      <c r="D45" s="1"/>
      <c r="E45" s="1"/>
      <c r="F45" s="1"/>
      <c r="G45" s="1"/>
      <c r="H45" s="1"/>
      <c r="I45" s="1"/>
      <c r="J45" s="1"/>
      <c r="K45" s="1"/>
      <c r="L45" s="1"/>
      <c r="M45" s="1"/>
    </row>
  </sheetData>
  <autoFilter ref="A6:M6" xr:uid="{00000000-0009-0000-0000-00000E000000}"/>
  <mergeCells count="10">
    <mergeCell ref="M4:M6"/>
    <mergeCell ref="A1:M1"/>
    <mergeCell ref="A2:M2"/>
    <mergeCell ref="B3:M3"/>
    <mergeCell ref="A4:A6"/>
    <mergeCell ref="B4:B6"/>
    <mergeCell ref="C4:C6"/>
    <mergeCell ref="D4:D6"/>
    <mergeCell ref="E4:K4"/>
    <mergeCell ref="L4:L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pageSetUpPr fitToPage="1"/>
  </sheetPr>
  <dimension ref="A1:AO49"/>
  <sheetViews>
    <sheetView zoomScale="70" zoomScaleNormal="70" workbookViewId="0">
      <pane xSplit="5" ySplit="7" topLeftCell="F34" activePane="bottomRight" state="frozen"/>
      <selection pane="topRight" activeCell="E1" sqref="E1"/>
      <selection pane="bottomLeft" activeCell="A8" sqref="A8"/>
      <selection pane="bottomRight" activeCell="C3" sqref="C3:AO3"/>
    </sheetView>
  </sheetViews>
  <sheetFormatPr defaultRowHeight="15"/>
  <cols>
    <col min="1" max="1" width="21.7109375" customWidth="1"/>
    <col min="2" max="2" width="13.7109375" customWidth="1"/>
    <col min="3" max="3" width="20.7109375" customWidth="1"/>
    <col min="4" max="5" width="15.7109375" customWidth="1"/>
    <col min="6" max="39" width="12.7109375" customWidth="1"/>
    <col min="40" max="40" width="10.7109375" customWidth="1"/>
    <col min="41" max="41" width="20.7109375" customWidth="1"/>
  </cols>
  <sheetData>
    <row r="1" spans="1:41" s="1" customFormat="1" ht="18.75" customHeight="1">
      <c r="A1" s="165" t="s">
        <v>231</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row>
    <row r="2" spans="1:41" s="18" customFormat="1" ht="18.75" customHeight="1">
      <c r="A2" s="143" t="s">
        <v>242</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row>
    <row r="3" spans="1:41" s="18" customFormat="1" ht="18.75" customHeight="1">
      <c r="A3" s="10" t="s">
        <v>240</v>
      </c>
      <c r="B3" s="10"/>
      <c r="C3" s="143" t="s">
        <v>654</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row>
    <row r="4" spans="1:41" s="18" customFormat="1" ht="18.75" customHeight="1">
      <c r="A4" s="169" t="s">
        <v>235</v>
      </c>
      <c r="B4" s="169" t="s">
        <v>446</v>
      </c>
      <c r="C4" s="169" t="s">
        <v>97</v>
      </c>
      <c r="D4" s="169" t="s">
        <v>171</v>
      </c>
      <c r="E4" s="169" t="s">
        <v>172</v>
      </c>
      <c r="F4" s="169" t="s">
        <v>236</v>
      </c>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t="s">
        <v>151</v>
      </c>
      <c r="AO4" s="169" t="s">
        <v>8</v>
      </c>
    </row>
    <row r="5" spans="1:41" s="18" customFormat="1" ht="56.25" customHeight="1">
      <c r="A5" s="169"/>
      <c r="B5" s="169"/>
      <c r="C5" s="169"/>
      <c r="D5" s="169"/>
      <c r="E5" s="169"/>
      <c r="F5" s="11" t="s">
        <v>133</v>
      </c>
      <c r="G5" s="11" t="s">
        <v>133</v>
      </c>
      <c r="H5" s="11" t="s">
        <v>133</v>
      </c>
      <c r="I5" s="11" t="s">
        <v>133</v>
      </c>
      <c r="J5" s="14" t="s">
        <v>246</v>
      </c>
      <c r="K5" s="11" t="s">
        <v>133</v>
      </c>
      <c r="L5" s="11" t="s">
        <v>133</v>
      </c>
      <c r="M5" s="11" t="s">
        <v>133</v>
      </c>
      <c r="N5" s="11" t="s">
        <v>133</v>
      </c>
      <c r="O5" s="11" t="s">
        <v>133</v>
      </c>
      <c r="P5" s="54"/>
      <c r="Q5" s="54"/>
      <c r="R5" s="54"/>
      <c r="S5" s="54"/>
      <c r="T5" s="14" t="s">
        <v>246</v>
      </c>
      <c r="U5" s="11" t="s">
        <v>133</v>
      </c>
      <c r="V5" s="11" t="s">
        <v>133</v>
      </c>
      <c r="W5" s="11" t="s">
        <v>133</v>
      </c>
      <c r="X5" s="54"/>
      <c r="Y5" s="54"/>
      <c r="Z5" s="11" t="s">
        <v>605</v>
      </c>
      <c r="AA5" s="11" t="s">
        <v>133</v>
      </c>
      <c r="AB5" s="11" t="s">
        <v>133</v>
      </c>
      <c r="AC5" s="28" t="s">
        <v>16</v>
      </c>
      <c r="AD5" s="28" t="s">
        <v>16</v>
      </c>
      <c r="AE5" s="28" t="s">
        <v>16</v>
      </c>
      <c r="AF5" s="169" t="s">
        <v>133</v>
      </c>
      <c r="AG5" s="169"/>
      <c r="AH5" s="11" t="s">
        <v>133</v>
      </c>
      <c r="AI5" s="11" t="s">
        <v>133</v>
      </c>
      <c r="AJ5" s="11" t="s">
        <v>133</v>
      </c>
      <c r="AK5" s="14" t="s">
        <v>246</v>
      </c>
      <c r="AL5" s="14" t="s">
        <v>246</v>
      </c>
      <c r="AM5" s="25" t="s">
        <v>681</v>
      </c>
      <c r="AN5" s="169"/>
      <c r="AO5" s="169"/>
    </row>
    <row r="6" spans="1:41" ht="60">
      <c r="A6" s="169"/>
      <c r="B6" s="169"/>
      <c r="C6" s="169"/>
      <c r="D6" s="169"/>
      <c r="E6" s="169"/>
      <c r="F6" s="11" t="s">
        <v>818</v>
      </c>
      <c r="G6" s="11" t="s">
        <v>794</v>
      </c>
      <c r="H6" s="11" t="s">
        <v>780</v>
      </c>
      <c r="I6" s="11" t="s">
        <v>245</v>
      </c>
      <c r="J6" s="14" t="s">
        <v>795</v>
      </c>
      <c r="K6" s="11" t="s">
        <v>796</v>
      </c>
      <c r="L6" s="11" t="s">
        <v>797</v>
      </c>
      <c r="M6" s="11" t="s">
        <v>798</v>
      </c>
      <c r="N6" s="11" t="s">
        <v>799</v>
      </c>
      <c r="O6" s="11" t="s">
        <v>800</v>
      </c>
      <c r="P6" s="54" t="s">
        <v>801</v>
      </c>
      <c r="Q6" s="54" t="s">
        <v>802</v>
      </c>
      <c r="R6" s="54" t="s">
        <v>803</v>
      </c>
      <c r="S6" s="54" t="s">
        <v>804</v>
      </c>
      <c r="T6" s="14" t="s">
        <v>805</v>
      </c>
      <c r="U6" s="11" t="s">
        <v>806</v>
      </c>
      <c r="V6" s="11" t="s">
        <v>784</v>
      </c>
      <c r="W6" s="11" t="s">
        <v>807</v>
      </c>
      <c r="X6" s="54" t="s">
        <v>808</v>
      </c>
      <c r="Y6" s="54" t="s">
        <v>812</v>
      </c>
      <c r="Z6" s="11" t="s">
        <v>813</v>
      </c>
      <c r="AA6" s="11" t="s">
        <v>814</v>
      </c>
      <c r="AB6" s="11" t="s">
        <v>809</v>
      </c>
      <c r="AC6" s="28" t="s">
        <v>247</v>
      </c>
      <c r="AD6" s="28" t="s">
        <v>248</v>
      </c>
      <c r="AE6" s="28" t="s">
        <v>249</v>
      </c>
      <c r="AF6" s="169" t="s">
        <v>250</v>
      </c>
      <c r="AG6" s="169"/>
      <c r="AH6" s="11" t="s">
        <v>781</v>
      </c>
      <c r="AI6" s="11" t="s">
        <v>810</v>
      </c>
      <c r="AJ6" s="11" t="s">
        <v>811</v>
      </c>
      <c r="AK6" s="14" t="s">
        <v>815</v>
      </c>
      <c r="AL6" s="14" t="s">
        <v>816</v>
      </c>
      <c r="AM6" s="25" t="s">
        <v>817</v>
      </c>
      <c r="AN6" s="169"/>
      <c r="AO6" s="169"/>
    </row>
    <row r="7" spans="1:41" s="52" customFormat="1" ht="38.25">
      <c r="A7" s="169"/>
      <c r="B7" s="169"/>
      <c r="C7" s="170" t="s">
        <v>660</v>
      </c>
      <c r="D7" s="170"/>
      <c r="E7" s="170"/>
      <c r="F7" s="48">
        <v>0.4</v>
      </c>
      <c r="G7" s="48">
        <v>40</v>
      </c>
      <c r="H7" s="48">
        <v>100</v>
      </c>
      <c r="I7" s="48" t="s">
        <v>595</v>
      </c>
      <c r="J7" s="49">
        <v>5</v>
      </c>
      <c r="K7" s="48">
        <v>0.3</v>
      </c>
      <c r="L7" s="48">
        <v>0.1</v>
      </c>
      <c r="M7" s="48">
        <v>0.1</v>
      </c>
      <c r="N7" s="48">
        <v>0.5</v>
      </c>
      <c r="O7" s="48">
        <v>0.2</v>
      </c>
      <c r="P7" s="56">
        <v>2</v>
      </c>
      <c r="Q7" s="56">
        <v>0.02</v>
      </c>
      <c r="R7" s="56">
        <v>2</v>
      </c>
      <c r="S7" s="56">
        <v>0.2</v>
      </c>
      <c r="T7" s="49" t="s">
        <v>465</v>
      </c>
      <c r="U7" s="48"/>
      <c r="V7" s="171">
        <v>2</v>
      </c>
      <c r="W7" s="171"/>
      <c r="X7" s="56"/>
      <c r="Y7" s="56">
        <v>2</v>
      </c>
      <c r="Z7" s="48">
        <v>15</v>
      </c>
      <c r="AA7" s="48">
        <v>2</v>
      </c>
      <c r="AB7" s="48">
        <v>30</v>
      </c>
      <c r="AC7" s="50">
        <v>50</v>
      </c>
      <c r="AD7" s="50">
        <v>50</v>
      </c>
      <c r="AE7" s="50">
        <v>50</v>
      </c>
      <c r="AF7" s="48" t="s">
        <v>623</v>
      </c>
      <c r="AG7" s="48" t="s">
        <v>623</v>
      </c>
      <c r="AH7" s="48">
        <v>15</v>
      </c>
      <c r="AI7" s="48">
        <v>0.6</v>
      </c>
      <c r="AJ7" s="48">
        <v>20</v>
      </c>
      <c r="AK7" s="49">
        <v>1200</v>
      </c>
      <c r="AL7" s="49">
        <v>1000</v>
      </c>
      <c r="AM7" s="95">
        <v>1</v>
      </c>
      <c r="AN7" s="98"/>
      <c r="AO7" s="98"/>
    </row>
    <row r="8" spans="1:41" ht="30" customHeight="1">
      <c r="A8" s="3" t="s">
        <v>591</v>
      </c>
      <c r="B8" s="69" t="s">
        <v>447</v>
      </c>
      <c r="C8" s="3" t="s">
        <v>155</v>
      </c>
      <c r="D8" s="33">
        <v>44579</v>
      </c>
      <c r="E8" s="3" t="s">
        <v>592</v>
      </c>
      <c r="F8" s="3"/>
      <c r="G8" s="3"/>
      <c r="H8" s="3">
        <v>59</v>
      </c>
      <c r="I8" s="3"/>
      <c r="J8" s="3"/>
      <c r="K8" s="3">
        <v>5.8000000000000003E-2</v>
      </c>
      <c r="L8" s="3"/>
      <c r="M8" s="3"/>
      <c r="N8" s="46"/>
      <c r="O8" s="3"/>
      <c r="P8" s="3"/>
      <c r="Q8" s="3"/>
      <c r="R8" s="3"/>
      <c r="S8" s="3"/>
      <c r="T8" s="3"/>
      <c r="U8" s="3"/>
      <c r="V8" s="3" t="s">
        <v>244</v>
      </c>
      <c r="W8" s="3">
        <v>0.96</v>
      </c>
      <c r="X8" s="3"/>
      <c r="Y8" s="3"/>
      <c r="Z8" s="3"/>
      <c r="AA8" s="3">
        <v>0.59</v>
      </c>
      <c r="AB8" s="3"/>
      <c r="AC8" s="3"/>
      <c r="AD8" s="3"/>
      <c r="AE8" s="3"/>
      <c r="AF8" s="3">
        <v>7.08</v>
      </c>
      <c r="AG8" s="3"/>
      <c r="AH8" s="3" t="s">
        <v>244</v>
      </c>
      <c r="AI8" s="3" t="s">
        <v>244</v>
      </c>
      <c r="AJ8" s="3">
        <v>3.35</v>
      </c>
      <c r="AK8" s="3"/>
      <c r="AL8" s="3"/>
      <c r="AM8" s="3"/>
      <c r="AN8" s="3" t="s">
        <v>118</v>
      </c>
      <c r="AO8" s="3" t="s">
        <v>237</v>
      </c>
    </row>
    <row r="9" spans="1:41" ht="30" customHeight="1">
      <c r="A9" s="3" t="s">
        <v>591</v>
      </c>
      <c r="B9" s="69" t="s">
        <v>447</v>
      </c>
      <c r="C9" s="3" t="s">
        <v>155</v>
      </c>
      <c r="D9" s="33">
        <v>44615</v>
      </c>
      <c r="E9" s="3" t="s">
        <v>624</v>
      </c>
      <c r="F9" s="3"/>
      <c r="G9" s="3"/>
      <c r="H9" s="3">
        <v>75</v>
      </c>
      <c r="I9" s="3"/>
      <c r="J9" s="3"/>
      <c r="K9" s="3">
        <v>5.3999999999999999E-2</v>
      </c>
      <c r="L9" s="3"/>
      <c r="M9" s="3"/>
      <c r="N9" s="46"/>
      <c r="O9" s="3"/>
      <c r="P9" s="3"/>
      <c r="Q9" s="3"/>
      <c r="R9" s="3"/>
      <c r="S9" s="3"/>
      <c r="T9" s="3"/>
      <c r="U9" s="3"/>
      <c r="V9" s="3">
        <v>0.08</v>
      </c>
      <c r="W9" s="3">
        <v>0.98</v>
      </c>
      <c r="X9" s="3"/>
      <c r="Y9" s="3"/>
      <c r="Z9" s="3"/>
      <c r="AA9" s="3">
        <v>10</v>
      </c>
      <c r="AB9" s="3"/>
      <c r="AC9" s="3"/>
      <c r="AD9" s="3"/>
      <c r="AE9" s="3"/>
      <c r="AF9" s="3">
        <v>6.76</v>
      </c>
      <c r="AG9" s="3"/>
      <c r="AH9" s="3" t="s">
        <v>244</v>
      </c>
      <c r="AI9" s="3">
        <v>1.4999999999999999E-2</v>
      </c>
      <c r="AJ9" s="3">
        <v>5.25</v>
      </c>
      <c r="AK9" s="3"/>
      <c r="AL9" s="3"/>
      <c r="AM9" s="3"/>
      <c r="AN9" s="3" t="s">
        <v>118</v>
      </c>
      <c r="AO9" s="3" t="s">
        <v>237</v>
      </c>
    </row>
    <row r="10" spans="1:41" ht="30" customHeight="1">
      <c r="A10" s="3" t="s">
        <v>591</v>
      </c>
      <c r="B10" s="69" t="s">
        <v>447</v>
      </c>
      <c r="C10" s="3" t="s">
        <v>155</v>
      </c>
      <c r="D10" s="33">
        <v>44636</v>
      </c>
      <c r="E10" s="3" t="s">
        <v>625</v>
      </c>
      <c r="F10" s="3"/>
      <c r="G10" s="3" t="s">
        <v>244</v>
      </c>
      <c r="H10" s="3">
        <v>69</v>
      </c>
      <c r="I10" s="3" t="s">
        <v>243</v>
      </c>
      <c r="J10" s="3"/>
      <c r="K10" s="3">
        <v>7.3999999999999996E-2</v>
      </c>
      <c r="L10" s="3" t="s">
        <v>244</v>
      </c>
      <c r="M10" s="3"/>
      <c r="N10" s="46">
        <v>0.17</v>
      </c>
      <c r="O10" s="3">
        <v>4.2000000000000003E-2</v>
      </c>
      <c r="P10" s="3">
        <v>0.09</v>
      </c>
      <c r="Q10" s="3"/>
      <c r="R10" s="3"/>
      <c r="S10" s="3"/>
      <c r="T10" s="3"/>
      <c r="U10" s="3"/>
      <c r="V10" s="3">
        <v>0.06</v>
      </c>
      <c r="W10" s="3">
        <v>0.62</v>
      </c>
      <c r="X10" s="3" t="s">
        <v>244</v>
      </c>
      <c r="Y10" s="3">
        <v>0.68</v>
      </c>
      <c r="Z10" s="3"/>
      <c r="AA10" s="3">
        <v>0.62</v>
      </c>
      <c r="AB10" s="3" t="s">
        <v>244</v>
      </c>
      <c r="AC10" s="3"/>
      <c r="AD10" s="3"/>
      <c r="AE10" s="3"/>
      <c r="AF10" s="3">
        <v>7.14</v>
      </c>
      <c r="AG10" s="3"/>
      <c r="AH10" s="3" t="s">
        <v>244</v>
      </c>
      <c r="AI10" s="3">
        <v>1.4999999999999999E-2</v>
      </c>
      <c r="AJ10" s="3">
        <v>4.4000000000000004</v>
      </c>
      <c r="AK10" s="3">
        <v>58</v>
      </c>
      <c r="AL10" s="3">
        <v>413</v>
      </c>
      <c r="AM10" s="3"/>
      <c r="AN10" s="3" t="s">
        <v>118</v>
      </c>
      <c r="AO10" s="3" t="s">
        <v>237</v>
      </c>
    </row>
    <row r="11" spans="1:41" ht="30" customHeight="1">
      <c r="A11" s="3" t="s">
        <v>591</v>
      </c>
      <c r="B11" s="69" t="s">
        <v>447</v>
      </c>
      <c r="C11" s="3" t="s">
        <v>155</v>
      </c>
      <c r="D11" s="33">
        <v>44664</v>
      </c>
      <c r="E11" s="3" t="s">
        <v>626</v>
      </c>
      <c r="F11" s="3"/>
      <c r="G11" s="3"/>
      <c r="H11" s="3">
        <v>48</v>
      </c>
      <c r="I11" s="3"/>
      <c r="J11" s="3"/>
      <c r="K11" s="3">
        <v>7.0999999999999994E-2</v>
      </c>
      <c r="L11" s="3"/>
      <c r="M11" s="3"/>
      <c r="N11" s="46"/>
      <c r="O11" s="3"/>
      <c r="P11" s="3"/>
      <c r="Q11" s="3"/>
      <c r="R11" s="3"/>
      <c r="S11" s="3"/>
      <c r="T11" s="3"/>
      <c r="U11" s="3"/>
      <c r="V11" s="3" t="s">
        <v>244</v>
      </c>
      <c r="W11" s="3">
        <v>0.35</v>
      </c>
      <c r="X11" s="3"/>
      <c r="Y11" s="3"/>
      <c r="Z11" s="3"/>
      <c r="AA11" s="3">
        <v>0.66</v>
      </c>
      <c r="AB11" s="3"/>
      <c r="AC11" s="3"/>
      <c r="AD11" s="3"/>
      <c r="AE11" s="3"/>
      <c r="AF11" s="3">
        <v>6.95</v>
      </c>
      <c r="AG11" s="3"/>
      <c r="AH11" s="3" t="s">
        <v>244</v>
      </c>
      <c r="AI11" s="3">
        <v>8.9999999999999993E-3</v>
      </c>
      <c r="AJ11" s="3">
        <v>6.3</v>
      </c>
      <c r="AK11" s="3"/>
      <c r="AL11" s="3"/>
      <c r="AM11" s="3"/>
      <c r="AN11" s="3" t="s">
        <v>118</v>
      </c>
      <c r="AO11" s="3" t="s">
        <v>237</v>
      </c>
    </row>
    <row r="12" spans="1:41" ht="30" customHeight="1">
      <c r="A12" s="3" t="s">
        <v>591</v>
      </c>
      <c r="B12" s="69" t="s">
        <v>447</v>
      </c>
      <c r="C12" s="3" t="s">
        <v>155</v>
      </c>
      <c r="D12" s="33">
        <v>44684</v>
      </c>
      <c r="E12" s="3" t="s">
        <v>627</v>
      </c>
      <c r="F12" s="3"/>
      <c r="G12" s="3"/>
      <c r="H12" s="3">
        <v>53</v>
      </c>
      <c r="I12" s="3"/>
      <c r="J12" s="3"/>
      <c r="K12" s="3">
        <v>5.7000000000000002E-2</v>
      </c>
      <c r="L12" s="3"/>
      <c r="M12" s="3"/>
      <c r="N12" s="46"/>
      <c r="O12" s="3"/>
      <c r="P12" s="3"/>
      <c r="Q12" s="3"/>
      <c r="R12" s="3"/>
      <c r="S12" s="3"/>
      <c r="T12" s="3"/>
      <c r="U12" s="3"/>
      <c r="V12" s="3">
        <v>0.08</v>
      </c>
      <c r="W12" s="3">
        <v>0.47</v>
      </c>
      <c r="X12" s="3"/>
      <c r="Y12" s="3"/>
      <c r="Z12" s="3"/>
      <c r="AA12" s="3">
        <v>0.45</v>
      </c>
      <c r="AB12" s="3"/>
      <c r="AC12" s="3"/>
      <c r="AD12" s="3"/>
      <c r="AE12" s="3"/>
      <c r="AF12" s="3">
        <v>6.94</v>
      </c>
      <c r="AG12" s="3"/>
      <c r="AH12" s="3" t="s">
        <v>244</v>
      </c>
      <c r="AI12" s="66">
        <v>0.01</v>
      </c>
      <c r="AJ12" s="3">
        <v>6.3</v>
      </c>
      <c r="AK12" s="3"/>
      <c r="AL12" s="3"/>
      <c r="AM12" s="3"/>
      <c r="AN12" s="3" t="s">
        <v>118</v>
      </c>
      <c r="AO12" s="3" t="s">
        <v>237</v>
      </c>
    </row>
    <row r="13" spans="1:41" ht="30" customHeight="1">
      <c r="A13" s="3" t="s">
        <v>591</v>
      </c>
      <c r="B13" s="69" t="s">
        <v>447</v>
      </c>
      <c r="C13" s="3" t="s">
        <v>155</v>
      </c>
      <c r="D13" s="33">
        <v>44728</v>
      </c>
      <c r="E13" s="3" t="s">
        <v>629</v>
      </c>
      <c r="F13" s="3"/>
      <c r="G13" s="3"/>
      <c r="H13" s="3">
        <v>64</v>
      </c>
      <c r="I13" s="3"/>
      <c r="J13" s="3"/>
      <c r="K13" s="3"/>
      <c r="L13" s="3"/>
      <c r="M13" s="3"/>
      <c r="N13" s="46"/>
      <c r="O13" s="3"/>
      <c r="P13" s="3"/>
      <c r="Q13" s="3"/>
      <c r="R13" s="3"/>
      <c r="S13" s="3"/>
      <c r="T13" s="3"/>
      <c r="U13" s="3"/>
      <c r="V13" s="3">
        <v>0.06</v>
      </c>
      <c r="W13" s="46">
        <v>0.5</v>
      </c>
      <c r="X13" s="3"/>
      <c r="Y13" s="3"/>
      <c r="Z13" s="3"/>
      <c r="AA13" s="3"/>
      <c r="AB13" s="3"/>
      <c r="AC13" s="3"/>
      <c r="AD13" s="3"/>
      <c r="AE13" s="3"/>
      <c r="AF13" s="3">
        <v>6.59</v>
      </c>
      <c r="AG13" s="3"/>
      <c r="AH13" s="3"/>
      <c r="AI13" s="3">
        <v>9.8000000000000004E-2</v>
      </c>
      <c r="AJ13" s="3"/>
      <c r="AK13" s="3"/>
      <c r="AL13" s="3"/>
      <c r="AM13" s="3"/>
      <c r="AN13" s="3" t="s">
        <v>118</v>
      </c>
      <c r="AO13" s="3" t="s">
        <v>237</v>
      </c>
    </row>
    <row r="14" spans="1:41" ht="30" customHeight="1">
      <c r="A14" s="3" t="s">
        <v>591</v>
      </c>
      <c r="B14" s="69" t="s">
        <v>447</v>
      </c>
      <c r="C14" s="3" t="s">
        <v>155</v>
      </c>
      <c r="D14" s="33">
        <v>44810</v>
      </c>
      <c r="E14" s="3" t="s">
        <v>630</v>
      </c>
      <c r="F14" s="3"/>
      <c r="G14" s="3" t="s">
        <v>244</v>
      </c>
      <c r="H14" s="3">
        <v>57</v>
      </c>
      <c r="I14" s="3" t="s">
        <v>243</v>
      </c>
      <c r="J14" s="3"/>
      <c r="K14" s="3">
        <v>3.1E-2</v>
      </c>
      <c r="L14" s="3" t="s">
        <v>244</v>
      </c>
      <c r="M14" s="3"/>
      <c r="N14" s="46">
        <v>0.13</v>
      </c>
      <c r="O14" s="3" t="s">
        <v>244</v>
      </c>
      <c r="P14" s="3">
        <v>0.36</v>
      </c>
      <c r="Q14" s="3"/>
      <c r="R14" s="3"/>
      <c r="S14" s="3"/>
      <c r="T14" s="3"/>
      <c r="U14" s="3"/>
      <c r="V14" s="3">
        <v>7.0000000000000007E-2</v>
      </c>
      <c r="W14" s="3">
        <v>0.62</v>
      </c>
      <c r="X14" s="3" t="s">
        <v>244</v>
      </c>
      <c r="Y14" s="3">
        <v>0.74</v>
      </c>
      <c r="Z14" s="3"/>
      <c r="AA14" s="3">
        <v>0.51</v>
      </c>
      <c r="AB14" s="3" t="s">
        <v>244</v>
      </c>
      <c r="AC14" s="3"/>
      <c r="AD14" s="3"/>
      <c r="AE14" s="3"/>
      <c r="AF14" s="3">
        <v>6.58</v>
      </c>
      <c r="AG14" s="3"/>
      <c r="AH14" s="3">
        <v>9.9</v>
      </c>
      <c r="AI14" s="3">
        <v>0.10199999999999999</v>
      </c>
      <c r="AJ14" s="3">
        <v>4.9000000000000004</v>
      </c>
      <c r="AK14" s="3">
        <v>49</v>
      </c>
      <c r="AL14" s="3">
        <v>368</v>
      </c>
      <c r="AM14" s="3"/>
      <c r="AN14" s="3" t="s">
        <v>118</v>
      </c>
      <c r="AO14" s="3" t="s">
        <v>237</v>
      </c>
    </row>
    <row r="15" spans="1:41" ht="30" customHeight="1">
      <c r="A15" s="3" t="s">
        <v>591</v>
      </c>
      <c r="B15" s="69" t="s">
        <v>447</v>
      </c>
      <c r="C15" s="3" t="s">
        <v>155</v>
      </c>
      <c r="D15" s="33">
        <v>44861</v>
      </c>
      <c r="E15" s="3" t="s">
        <v>632</v>
      </c>
      <c r="F15" s="3"/>
      <c r="G15" s="3"/>
      <c r="H15" s="3">
        <v>55</v>
      </c>
      <c r="I15" s="3"/>
      <c r="J15" s="3"/>
      <c r="K15" s="3"/>
      <c r="L15" s="3"/>
      <c r="M15" s="3"/>
      <c r="N15" s="46"/>
      <c r="O15" s="3"/>
      <c r="P15" s="3"/>
      <c r="Q15" s="3"/>
      <c r="R15" s="3"/>
      <c r="S15" s="3"/>
      <c r="T15" s="3"/>
      <c r="U15" s="3"/>
      <c r="V15" s="3">
        <v>0.08</v>
      </c>
      <c r="W15" s="3">
        <v>0.39</v>
      </c>
      <c r="X15" s="3"/>
      <c r="Y15" s="3"/>
      <c r="Z15" s="3"/>
      <c r="AA15" s="3"/>
      <c r="AB15" s="3"/>
      <c r="AC15" s="3"/>
      <c r="AD15" s="3"/>
      <c r="AE15" s="3"/>
      <c r="AF15" s="3">
        <v>7.1</v>
      </c>
      <c r="AG15" s="3"/>
      <c r="AH15" s="3" t="s">
        <v>244</v>
      </c>
      <c r="AI15" s="3">
        <v>7.0999999999999994E-2</v>
      </c>
      <c r="AJ15" s="3"/>
      <c r="AK15" s="3"/>
      <c r="AL15" s="3"/>
      <c r="AM15" s="3"/>
      <c r="AN15" s="3" t="s">
        <v>118</v>
      </c>
      <c r="AO15" s="3" t="s">
        <v>237</v>
      </c>
    </row>
    <row r="16" spans="1:41" ht="30" customHeight="1" thickBot="1">
      <c r="A16" s="64" t="s">
        <v>591</v>
      </c>
      <c r="B16" s="106" t="s">
        <v>447</v>
      </c>
      <c r="C16" s="64" t="s">
        <v>155</v>
      </c>
      <c r="D16" s="84">
        <v>44909</v>
      </c>
      <c r="E16" s="64" t="s">
        <v>633</v>
      </c>
      <c r="F16" s="64"/>
      <c r="G16" s="64" t="s">
        <v>244</v>
      </c>
      <c r="H16" s="64">
        <v>47</v>
      </c>
      <c r="I16" s="64" t="s">
        <v>243</v>
      </c>
      <c r="J16" s="64"/>
      <c r="K16" s="107">
        <v>0.06</v>
      </c>
      <c r="L16" s="64" t="s">
        <v>244</v>
      </c>
      <c r="M16" s="64"/>
      <c r="N16" s="104">
        <v>0.05</v>
      </c>
      <c r="O16" s="64">
        <v>3.1E-2</v>
      </c>
      <c r="P16" s="64" t="s">
        <v>244</v>
      </c>
      <c r="Q16" s="64"/>
      <c r="R16" s="64"/>
      <c r="S16" s="64"/>
      <c r="T16" s="64"/>
      <c r="U16" s="64"/>
      <c r="V16" s="64">
        <v>7.0000000000000007E-2</v>
      </c>
      <c r="W16" s="64">
        <v>0.17</v>
      </c>
      <c r="X16" s="64" t="s">
        <v>244</v>
      </c>
      <c r="Y16" s="64">
        <v>0.28999999999999998</v>
      </c>
      <c r="Z16" s="64"/>
      <c r="AA16" s="64">
        <v>0.45</v>
      </c>
      <c r="AB16" s="64" t="s">
        <v>244</v>
      </c>
      <c r="AC16" s="64"/>
      <c r="AD16" s="64"/>
      <c r="AE16" s="64"/>
      <c r="AF16" s="64">
        <v>7.41</v>
      </c>
      <c r="AG16" s="64"/>
      <c r="AH16" s="64" t="s">
        <v>244</v>
      </c>
      <c r="AI16" s="64" t="s">
        <v>244</v>
      </c>
      <c r="AJ16" s="64">
        <v>4.5</v>
      </c>
      <c r="AK16" s="64">
        <v>52</v>
      </c>
      <c r="AL16" s="64">
        <v>357</v>
      </c>
      <c r="AM16" s="64"/>
      <c r="AN16" s="64" t="s">
        <v>118</v>
      </c>
      <c r="AO16" s="64" t="s">
        <v>237</v>
      </c>
    </row>
    <row r="17" spans="1:41" ht="30" customHeight="1" thickTop="1">
      <c r="A17" s="38" t="s">
        <v>591</v>
      </c>
      <c r="B17" s="105" t="s">
        <v>447</v>
      </c>
      <c r="C17" s="38" t="s">
        <v>155</v>
      </c>
      <c r="D17" s="39">
        <v>44943</v>
      </c>
      <c r="E17" s="38" t="s">
        <v>636</v>
      </c>
      <c r="F17" s="38"/>
      <c r="G17" s="38"/>
      <c r="H17" s="38">
        <v>48</v>
      </c>
      <c r="I17" s="38"/>
      <c r="J17" s="38"/>
      <c r="K17" s="38">
        <v>0.04</v>
      </c>
      <c r="L17" s="38"/>
      <c r="M17" s="38"/>
      <c r="N17" s="90"/>
      <c r="O17" s="38"/>
      <c r="P17" s="38"/>
      <c r="Q17" s="38"/>
      <c r="R17" s="38"/>
      <c r="S17" s="38"/>
      <c r="T17" s="38"/>
      <c r="U17" s="38"/>
      <c r="V17" s="38">
        <v>0.06</v>
      </c>
      <c r="W17" s="38">
        <v>0.33</v>
      </c>
      <c r="X17" s="38"/>
      <c r="Y17" s="38"/>
      <c r="Z17" s="38"/>
      <c r="AA17" s="38">
        <v>0.48</v>
      </c>
      <c r="AB17" s="38"/>
      <c r="AC17" s="38"/>
      <c r="AD17" s="38"/>
      <c r="AE17" s="38"/>
      <c r="AF17" s="38">
        <v>7.56</v>
      </c>
      <c r="AG17" s="38"/>
      <c r="AH17" s="38" t="s">
        <v>244</v>
      </c>
      <c r="AI17" s="38" t="s">
        <v>244</v>
      </c>
      <c r="AJ17" s="38">
        <v>6.8</v>
      </c>
      <c r="AK17" s="38"/>
      <c r="AL17" s="38"/>
      <c r="AM17" s="38"/>
      <c r="AN17" s="38" t="s">
        <v>118</v>
      </c>
      <c r="AO17" s="38" t="s">
        <v>237</v>
      </c>
    </row>
    <row r="18" spans="1:41" ht="30" customHeight="1">
      <c r="A18" s="3" t="s">
        <v>591</v>
      </c>
      <c r="B18" s="69" t="s">
        <v>447</v>
      </c>
      <c r="C18" s="3" t="s">
        <v>155</v>
      </c>
      <c r="D18" s="33">
        <v>44972</v>
      </c>
      <c r="E18" s="3" t="s">
        <v>637</v>
      </c>
      <c r="F18" s="3"/>
      <c r="G18" s="3"/>
      <c r="H18" s="3">
        <v>54</v>
      </c>
      <c r="I18" s="3"/>
      <c r="J18" s="3"/>
      <c r="K18" s="3">
        <v>7.0000000000000007E-2</v>
      </c>
      <c r="L18" s="3"/>
      <c r="M18" s="3"/>
      <c r="N18" s="46"/>
      <c r="O18" s="3"/>
      <c r="P18" s="3"/>
      <c r="Q18" s="3"/>
      <c r="R18" s="3"/>
      <c r="S18" s="3"/>
      <c r="T18" s="3"/>
      <c r="U18" s="3"/>
      <c r="V18" s="3">
        <v>0.06</v>
      </c>
      <c r="W18" s="3">
        <v>0.24</v>
      </c>
      <c r="X18" s="3"/>
      <c r="Y18" s="3"/>
      <c r="Z18" s="3"/>
      <c r="AA18" s="3">
        <v>0.86</v>
      </c>
      <c r="AB18" s="3"/>
      <c r="AC18" s="3"/>
      <c r="AD18" s="3"/>
      <c r="AE18" s="3"/>
      <c r="AF18" s="3">
        <v>7.35</v>
      </c>
      <c r="AG18" s="3"/>
      <c r="AH18" s="3" t="s">
        <v>244</v>
      </c>
      <c r="AI18" s="3">
        <v>0.01</v>
      </c>
      <c r="AJ18" s="3">
        <v>7.6</v>
      </c>
      <c r="AK18" s="3"/>
      <c r="AL18" s="3"/>
      <c r="AM18" s="3"/>
      <c r="AN18" s="3" t="s">
        <v>118</v>
      </c>
      <c r="AO18" s="3" t="s">
        <v>237</v>
      </c>
    </row>
    <row r="19" spans="1:41" ht="30" customHeight="1">
      <c r="A19" s="3" t="s">
        <v>591</v>
      </c>
      <c r="B19" s="69" t="s">
        <v>447</v>
      </c>
      <c r="C19" s="3" t="s">
        <v>155</v>
      </c>
      <c r="D19" s="33">
        <v>45008</v>
      </c>
      <c r="E19" s="3" t="s">
        <v>640</v>
      </c>
      <c r="F19" s="3"/>
      <c r="G19" s="3" t="s">
        <v>244</v>
      </c>
      <c r="H19" s="3">
        <v>53</v>
      </c>
      <c r="I19" s="3" t="s">
        <v>243</v>
      </c>
      <c r="J19" s="3"/>
      <c r="K19" s="3">
        <v>0.06</v>
      </c>
      <c r="L19" s="3" t="s">
        <v>244</v>
      </c>
      <c r="M19" s="3"/>
      <c r="N19" s="46">
        <v>0.05</v>
      </c>
      <c r="O19" s="3">
        <v>0.02</v>
      </c>
      <c r="P19" s="3">
        <v>0.32</v>
      </c>
      <c r="Q19" s="3"/>
      <c r="R19" s="3"/>
      <c r="S19" s="3"/>
      <c r="T19" s="3"/>
      <c r="U19" s="3"/>
      <c r="V19" s="3">
        <v>0.09</v>
      </c>
      <c r="W19" s="3">
        <v>0.31</v>
      </c>
      <c r="X19" s="3" t="s">
        <v>244</v>
      </c>
      <c r="Y19" s="3">
        <v>0.45</v>
      </c>
      <c r="Z19" s="3"/>
      <c r="AA19" s="3">
        <v>0.73</v>
      </c>
      <c r="AB19" s="3" t="s">
        <v>244</v>
      </c>
      <c r="AC19" s="3"/>
      <c r="AD19" s="3"/>
      <c r="AE19" s="3"/>
      <c r="AF19" s="46">
        <v>7.1</v>
      </c>
      <c r="AG19" s="3"/>
      <c r="AH19" s="3" t="s">
        <v>244</v>
      </c>
      <c r="AI19" s="3">
        <v>8.9999999999999993E-3</v>
      </c>
      <c r="AJ19" s="3">
        <v>3.8</v>
      </c>
      <c r="AK19" s="3">
        <v>49</v>
      </c>
      <c r="AL19" s="3">
        <v>461</v>
      </c>
      <c r="AM19" s="3"/>
      <c r="AN19" s="3" t="s">
        <v>118</v>
      </c>
      <c r="AO19" s="3" t="s">
        <v>237</v>
      </c>
    </row>
    <row r="20" spans="1:41" ht="30" customHeight="1">
      <c r="A20" s="3" t="s">
        <v>591</v>
      </c>
      <c r="B20" s="69" t="s">
        <v>447</v>
      </c>
      <c r="C20" s="3" t="s">
        <v>155</v>
      </c>
      <c r="D20" s="33">
        <v>45037</v>
      </c>
      <c r="E20" s="3" t="s">
        <v>641</v>
      </c>
      <c r="F20" s="3"/>
      <c r="G20" s="3"/>
      <c r="H20" s="3">
        <v>35</v>
      </c>
      <c r="I20" s="3"/>
      <c r="J20" s="3"/>
      <c r="K20" s="3">
        <v>4.5999999999999999E-2</v>
      </c>
      <c r="L20" s="3"/>
      <c r="M20" s="3"/>
      <c r="N20" s="46"/>
      <c r="O20" s="3"/>
      <c r="P20" s="3"/>
      <c r="Q20" s="3"/>
      <c r="R20" s="3"/>
      <c r="S20" s="3"/>
      <c r="T20" s="3"/>
      <c r="U20" s="3"/>
      <c r="V20" s="3">
        <v>0.06</v>
      </c>
      <c r="W20" s="3">
        <v>0.16</v>
      </c>
      <c r="X20" s="3"/>
      <c r="Y20" s="3"/>
      <c r="Z20" s="3"/>
      <c r="AA20" s="3">
        <v>0.33</v>
      </c>
      <c r="AB20" s="3"/>
      <c r="AC20" s="3"/>
      <c r="AD20" s="3"/>
      <c r="AE20" s="3"/>
      <c r="AF20" s="3">
        <v>7.15</v>
      </c>
      <c r="AG20" s="3"/>
      <c r="AH20" s="3" t="s">
        <v>244</v>
      </c>
      <c r="AI20" s="3">
        <v>1.4E-2</v>
      </c>
      <c r="AJ20" s="3">
        <v>7.4</v>
      </c>
      <c r="AK20" s="3"/>
      <c r="AL20" s="3"/>
      <c r="AM20" s="3"/>
      <c r="AN20" s="3" t="s">
        <v>118</v>
      </c>
      <c r="AO20" s="3" t="s">
        <v>237</v>
      </c>
    </row>
    <row r="21" spans="1:41" ht="30" customHeight="1">
      <c r="A21" s="3" t="s">
        <v>591</v>
      </c>
      <c r="B21" s="69" t="s">
        <v>447</v>
      </c>
      <c r="C21" s="3" t="s">
        <v>155</v>
      </c>
      <c r="D21" s="33">
        <v>45070</v>
      </c>
      <c r="E21" s="3" t="s">
        <v>642</v>
      </c>
      <c r="F21" s="3"/>
      <c r="G21" s="3"/>
      <c r="H21" s="3">
        <v>51</v>
      </c>
      <c r="I21" s="3"/>
      <c r="J21" s="3"/>
      <c r="K21" s="3">
        <v>0.04</v>
      </c>
      <c r="L21" s="3"/>
      <c r="M21" s="3"/>
      <c r="N21" s="46"/>
      <c r="O21" s="3"/>
      <c r="P21" s="3"/>
      <c r="Q21" s="3"/>
      <c r="R21" s="3"/>
      <c r="S21" s="3"/>
      <c r="T21" s="3"/>
      <c r="U21" s="3"/>
      <c r="V21" s="3">
        <v>7.0000000000000007E-2</v>
      </c>
      <c r="W21" s="3">
        <v>0.28999999999999998</v>
      </c>
      <c r="X21" s="3"/>
      <c r="Y21" s="3"/>
      <c r="Z21" s="3"/>
      <c r="AA21" s="3">
        <v>0.56999999999999995</v>
      </c>
      <c r="AB21" s="3"/>
      <c r="AC21" s="3"/>
      <c r="AD21" s="3"/>
      <c r="AE21" s="3"/>
      <c r="AF21" s="3">
        <v>7.24</v>
      </c>
      <c r="AG21" s="3"/>
      <c r="AH21" s="3">
        <v>10.4</v>
      </c>
      <c r="AI21" s="3">
        <v>1.2E-2</v>
      </c>
      <c r="AJ21" s="3">
        <v>0.12</v>
      </c>
      <c r="AK21" s="3"/>
      <c r="AL21" s="3"/>
      <c r="AM21" s="3"/>
      <c r="AN21" s="3" t="s">
        <v>118</v>
      </c>
      <c r="AO21" s="3" t="s">
        <v>237</v>
      </c>
    </row>
    <row r="22" spans="1:41" ht="30" customHeight="1">
      <c r="A22" s="3" t="s">
        <v>644</v>
      </c>
      <c r="B22" s="69" t="s">
        <v>447</v>
      </c>
      <c r="C22" s="3" t="s">
        <v>155</v>
      </c>
      <c r="D22" s="33">
        <v>45097</v>
      </c>
      <c r="E22" s="3" t="s">
        <v>645</v>
      </c>
      <c r="F22" s="3"/>
      <c r="G22" s="3" t="s">
        <v>244</v>
      </c>
      <c r="H22" s="3">
        <v>70</v>
      </c>
      <c r="I22" s="3" t="s">
        <v>243</v>
      </c>
      <c r="J22" s="3" t="s">
        <v>244</v>
      </c>
      <c r="K22" s="3">
        <v>4.8000000000000001E-2</v>
      </c>
      <c r="L22" s="3" t="s">
        <v>244</v>
      </c>
      <c r="M22" s="3"/>
      <c r="N22" s="46">
        <v>7.0000000000000007E-2</v>
      </c>
      <c r="O22" s="3" t="s">
        <v>244</v>
      </c>
      <c r="P22" s="3">
        <v>0.18</v>
      </c>
      <c r="Q22" s="3"/>
      <c r="R22" s="3"/>
      <c r="S22" s="3"/>
      <c r="T22" s="3"/>
      <c r="U22" s="3"/>
      <c r="V22" s="3">
        <v>0.06</v>
      </c>
      <c r="W22" s="3">
        <v>0.67</v>
      </c>
      <c r="X22" s="3" t="s">
        <v>244</v>
      </c>
      <c r="Y22" s="3">
        <v>0.78</v>
      </c>
      <c r="Z22" s="3"/>
      <c r="AA22" s="3">
        <v>0.7</v>
      </c>
      <c r="AB22" s="3" t="s">
        <v>244</v>
      </c>
      <c r="AC22" s="3">
        <v>0</v>
      </c>
      <c r="AD22" s="3">
        <v>19.399999999999999</v>
      </c>
      <c r="AE22" s="3">
        <v>0</v>
      </c>
      <c r="AF22" s="3">
        <v>7.19</v>
      </c>
      <c r="AG22" s="3"/>
      <c r="AH22" s="3" t="s">
        <v>244</v>
      </c>
      <c r="AI22" s="3">
        <v>0.114</v>
      </c>
      <c r="AJ22" s="3">
        <v>6.4</v>
      </c>
      <c r="AK22" s="3">
        <v>64</v>
      </c>
      <c r="AL22" s="3">
        <v>468</v>
      </c>
      <c r="AM22" s="3">
        <v>7.0000000000000007E-2</v>
      </c>
      <c r="AN22" s="3" t="s">
        <v>118</v>
      </c>
      <c r="AO22" s="3" t="s">
        <v>237</v>
      </c>
    </row>
    <row r="23" spans="1:41" ht="30" customHeight="1">
      <c r="A23" s="3" t="s">
        <v>591</v>
      </c>
      <c r="B23" s="69" t="s">
        <v>447</v>
      </c>
      <c r="C23" s="3" t="s">
        <v>155</v>
      </c>
      <c r="D23" s="33">
        <v>45183</v>
      </c>
      <c r="E23" s="3" t="s">
        <v>646</v>
      </c>
      <c r="F23" s="3"/>
      <c r="G23" s="3" t="s">
        <v>244</v>
      </c>
      <c r="H23" s="3">
        <v>54</v>
      </c>
      <c r="I23" s="3" t="s">
        <v>243</v>
      </c>
      <c r="J23" s="3"/>
      <c r="K23" s="3">
        <v>4.7E-2</v>
      </c>
      <c r="L23" s="3" t="s">
        <v>244</v>
      </c>
      <c r="M23" s="3"/>
      <c r="N23" s="46">
        <v>0.12</v>
      </c>
      <c r="O23" s="3">
        <v>1.7999999999999999E-2</v>
      </c>
      <c r="P23" s="3">
        <v>0.15</v>
      </c>
      <c r="Q23" s="3"/>
      <c r="R23" s="3"/>
      <c r="S23" s="3"/>
      <c r="T23" s="3"/>
      <c r="U23" s="3"/>
      <c r="V23" s="3">
        <v>0.05</v>
      </c>
      <c r="W23" s="3">
        <v>0.45</v>
      </c>
      <c r="X23" s="3" t="s">
        <v>244</v>
      </c>
      <c r="Y23" s="3">
        <v>0.55000000000000004</v>
      </c>
      <c r="Z23" s="3"/>
      <c r="AA23" s="3">
        <v>0.68</v>
      </c>
      <c r="AB23" s="3" t="s">
        <v>244</v>
      </c>
      <c r="AC23" s="3"/>
      <c r="AD23" s="3"/>
      <c r="AE23" s="3"/>
      <c r="AF23" s="3">
        <v>7.15</v>
      </c>
      <c r="AG23" s="3"/>
      <c r="AH23" s="3">
        <v>2.7</v>
      </c>
      <c r="AI23" s="3">
        <v>1.9E-2</v>
      </c>
      <c r="AJ23" s="3">
        <v>5.9</v>
      </c>
      <c r="AK23" s="3">
        <v>46</v>
      </c>
      <c r="AL23" s="3">
        <v>433</v>
      </c>
      <c r="AM23" s="3"/>
      <c r="AN23" s="3" t="s">
        <v>118</v>
      </c>
      <c r="AO23" s="3" t="s">
        <v>237</v>
      </c>
    </row>
    <row r="24" spans="1:41" ht="30" customHeight="1" thickBot="1">
      <c r="A24" s="64" t="s">
        <v>591</v>
      </c>
      <c r="B24" s="106" t="s">
        <v>447</v>
      </c>
      <c r="C24" s="64" t="s">
        <v>155</v>
      </c>
      <c r="D24" s="84">
        <v>45245</v>
      </c>
      <c r="E24" s="64" t="s">
        <v>648</v>
      </c>
      <c r="F24" s="64"/>
      <c r="G24" s="64"/>
      <c r="H24" s="64">
        <v>73</v>
      </c>
      <c r="I24" s="64"/>
      <c r="J24" s="64"/>
      <c r="K24" s="64">
        <v>0.06</v>
      </c>
      <c r="L24" s="64"/>
      <c r="M24" s="64"/>
      <c r="N24" s="104"/>
      <c r="O24" s="64"/>
      <c r="P24" s="64"/>
      <c r="Q24" s="64"/>
      <c r="R24" s="64"/>
      <c r="S24" s="64"/>
      <c r="T24" s="64"/>
      <c r="U24" s="64"/>
      <c r="V24" s="64">
        <v>7.0000000000000007E-2</v>
      </c>
      <c r="W24" s="64">
        <v>0.77</v>
      </c>
      <c r="X24" s="64"/>
      <c r="Y24" s="64"/>
      <c r="Z24" s="64"/>
      <c r="AA24" s="64">
        <v>1.36</v>
      </c>
      <c r="AB24" s="64"/>
      <c r="AC24" s="64"/>
      <c r="AD24" s="64"/>
      <c r="AE24" s="64"/>
      <c r="AF24" s="64">
        <v>7.31</v>
      </c>
      <c r="AG24" s="64"/>
      <c r="AH24" s="64" t="s">
        <v>244</v>
      </c>
      <c r="AI24" s="64">
        <v>3.1E-2</v>
      </c>
      <c r="AJ24" s="64">
        <v>4.3</v>
      </c>
      <c r="AK24" s="64"/>
      <c r="AL24" s="64"/>
      <c r="AM24" s="64"/>
      <c r="AN24" s="64" t="s">
        <v>118</v>
      </c>
      <c r="AO24" s="64" t="s">
        <v>237</v>
      </c>
    </row>
    <row r="25" spans="1:41" ht="30" customHeight="1" thickTop="1">
      <c r="A25" s="38" t="s">
        <v>591</v>
      </c>
      <c r="B25" s="105" t="s">
        <v>447</v>
      </c>
      <c r="C25" s="38" t="s">
        <v>155</v>
      </c>
      <c r="D25" s="39">
        <v>45307</v>
      </c>
      <c r="E25" s="38" t="s">
        <v>651</v>
      </c>
      <c r="F25" s="38"/>
      <c r="G25" s="38"/>
      <c r="H25" s="38">
        <v>77</v>
      </c>
      <c r="I25" s="38"/>
      <c r="J25" s="38"/>
      <c r="K25" s="38">
        <v>0.05</v>
      </c>
      <c r="L25" s="38"/>
      <c r="M25" s="38"/>
      <c r="N25" s="90"/>
      <c r="O25" s="38"/>
      <c r="P25" s="38"/>
      <c r="Q25" s="38"/>
      <c r="R25" s="38"/>
      <c r="S25" s="38"/>
      <c r="T25" s="38"/>
      <c r="U25" s="38"/>
      <c r="V25" s="38">
        <v>0.06</v>
      </c>
      <c r="W25" s="38">
        <v>1.22</v>
      </c>
      <c r="X25" s="38"/>
      <c r="Y25" s="38"/>
      <c r="Z25" s="38"/>
      <c r="AA25" s="38">
        <v>0.78</v>
      </c>
      <c r="AB25" s="38"/>
      <c r="AC25" s="38"/>
      <c r="AD25" s="38"/>
      <c r="AE25" s="38"/>
      <c r="AF25" s="38">
        <v>7.51</v>
      </c>
      <c r="AG25" s="38"/>
      <c r="AH25" s="38">
        <v>13.3</v>
      </c>
      <c r="AI25" s="38" t="s">
        <v>244</v>
      </c>
      <c r="AJ25" s="38">
        <v>0.65</v>
      </c>
      <c r="AK25" s="38"/>
      <c r="AL25" s="38"/>
      <c r="AM25" s="38"/>
      <c r="AN25" s="38" t="s">
        <v>118</v>
      </c>
      <c r="AO25" s="38" t="s">
        <v>237</v>
      </c>
    </row>
    <row r="26" spans="1:41" ht="30" customHeight="1">
      <c r="A26" s="3" t="s">
        <v>591</v>
      </c>
      <c r="B26" s="69" t="s">
        <v>447</v>
      </c>
      <c r="C26" s="3" t="s">
        <v>155</v>
      </c>
      <c r="D26" s="33">
        <v>45350</v>
      </c>
      <c r="E26" s="3" t="s">
        <v>652</v>
      </c>
      <c r="F26" s="3"/>
      <c r="G26" s="3"/>
      <c r="H26" s="3">
        <v>57</v>
      </c>
      <c r="I26" s="3"/>
      <c r="J26" s="3"/>
      <c r="K26" s="3">
        <v>5.8999999999999997E-2</v>
      </c>
      <c r="L26" s="3"/>
      <c r="M26" s="3"/>
      <c r="N26" s="46"/>
      <c r="O26" s="3"/>
      <c r="P26" s="3"/>
      <c r="Q26" s="3"/>
      <c r="R26" s="3"/>
      <c r="S26" s="3"/>
      <c r="T26" s="3"/>
      <c r="U26" s="3"/>
      <c r="V26" s="3">
        <v>7.0000000000000007E-2</v>
      </c>
      <c r="W26" s="3">
        <v>0.51</v>
      </c>
      <c r="X26" s="3"/>
      <c r="Y26" s="3"/>
      <c r="Z26" s="3"/>
      <c r="AA26" s="3">
        <v>1.72</v>
      </c>
      <c r="AB26" s="3"/>
      <c r="AC26" s="3"/>
      <c r="AD26" s="3"/>
      <c r="AE26" s="3"/>
      <c r="AF26" s="3">
        <v>7.39</v>
      </c>
      <c r="AG26" s="3"/>
      <c r="AH26" s="3" t="s">
        <v>244</v>
      </c>
      <c r="AI26" s="3">
        <v>0.13300000000000001</v>
      </c>
      <c r="AJ26" s="3">
        <v>6.7</v>
      </c>
      <c r="AK26" s="3"/>
      <c r="AL26" s="3"/>
      <c r="AM26" s="3"/>
      <c r="AN26" s="3" t="s">
        <v>118</v>
      </c>
      <c r="AO26" s="3" t="s">
        <v>237</v>
      </c>
    </row>
    <row r="27" spans="1:41" ht="30" customHeight="1">
      <c r="A27" s="3" t="s">
        <v>591</v>
      </c>
      <c r="B27" s="69" t="s">
        <v>447</v>
      </c>
      <c r="C27" s="3" t="s">
        <v>155</v>
      </c>
      <c r="D27" s="33">
        <v>45392</v>
      </c>
      <c r="E27" s="3" t="s">
        <v>653</v>
      </c>
      <c r="F27" s="3"/>
      <c r="G27" s="3"/>
      <c r="H27" s="3">
        <v>63</v>
      </c>
      <c r="I27" s="3"/>
      <c r="J27" s="3"/>
      <c r="K27" s="3"/>
      <c r="L27" s="3"/>
      <c r="M27" s="3"/>
      <c r="N27" s="46"/>
      <c r="O27" s="3"/>
      <c r="P27" s="3"/>
      <c r="Q27" s="3"/>
      <c r="R27" s="3"/>
      <c r="S27" s="3"/>
      <c r="T27" s="3"/>
      <c r="U27" s="3"/>
      <c r="V27" s="3">
        <v>0.06</v>
      </c>
      <c r="W27" s="3">
        <v>0.49</v>
      </c>
      <c r="X27" s="3"/>
      <c r="Y27" s="3"/>
      <c r="Z27" s="3"/>
      <c r="AA27" s="3"/>
      <c r="AB27" s="3"/>
      <c r="AC27" s="3"/>
      <c r="AD27" s="3"/>
      <c r="AE27" s="3"/>
      <c r="AF27" s="46">
        <v>6.7</v>
      </c>
      <c r="AG27" s="3"/>
      <c r="AH27" s="3"/>
      <c r="AI27" s="66">
        <v>0.02</v>
      </c>
      <c r="AJ27" s="3"/>
      <c r="AK27" s="3"/>
      <c r="AL27" s="3"/>
      <c r="AM27" s="3"/>
      <c r="AN27" s="3" t="s">
        <v>118</v>
      </c>
      <c r="AO27" s="3" t="s">
        <v>237</v>
      </c>
    </row>
    <row r="28" spans="1:41" ht="30" customHeight="1">
      <c r="A28" s="3" t="s">
        <v>591</v>
      </c>
      <c r="B28" s="69" t="s">
        <v>447</v>
      </c>
      <c r="C28" s="3" t="s">
        <v>155</v>
      </c>
      <c r="D28" s="33">
        <v>45439</v>
      </c>
      <c r="E28" s="3" t="s">
        <v>657</v>
      </c>
      <c r="F28" s="3"/>
      <c r="G28" s="3"/>
      <c r="H28" s="3">
        <v>33</v>
      </c>
      <c r="I28" s="3"/>
      <c r="J28" s="3"/>
      <c r="K28" s="3">
        <v>4.5999999999999999E-2</v>
      </c>
      <c r="L28" s="3"/>
      <c r="M28" s="3"/>
      <c r="N28" s="46"/>
      <c r="O28" s="3"/>
      <c r="P28" s="3"/>
      <c r="Q28" s="3"/>
      <c r="R28" s="3"/>
      <c r="S28" s="3"/>
      <c r="T28" s="3"/>
      <c r="U28" s="3"/>
      <c r="V28" s="3" t="s">
        <v>244</v>
      </c>
      <c r="W28" s="3">
        <v>0.05</v>
      </c>
      <c r="X28" s="3"/>
      <c r="Y28" s="3"/>
      <c r="Z28" s="3"/>
      <c r="AA28" s="3">
        <v>0.64</v>
      </c>
      <c r="AB28" s="3"/>
      <c r="AC28" s="3"/>
      <c r="AD28" s="3"/>
      <c r="AE28" s="3"/>
      <c r="AF28" s="3">
        <v>7.56</v>
      </c>
      <c r="AG28" s="3"/>
      <c r="AH28" s="3" t="s">
        <v>244</v>
      </c>
      <c r="AI28" s="3">
        <v>0.13400000000000001</v>
      </c>
      <c r="AJ28" s="3">
        <v>4.5999999999999996</v>
      </c>
      <c r="AK28" s="3"/>
      <c r="AL28" s="3"/>
      <c r="AM28" s="3"/>
      <c r="AN28" s="3" t="s">
        <v>118</v>
      </c>
      <c r="AO28" s="3" t="s">
        <v>237</v>
      </c>
    </row>
    <row r="29" spans="1:41" ht="30" customHeight="1">
      <c r="A29" s="3" t="s">
        <v>644</v>
      </c>
      <c r="B29" s="69" t="s">
        <v>447</v>
      </c>
      <c r="C29" s="3" t="s">
        <v>155</v>
      </c>
      <c r="D29" s="33">
        <v>45471</v>
      </c>
      <c r="E29" s="3" t="s">
        <v>658</v>
      </c>
      <c r="F29" s="3"/>
      <c r="G29" s="3" t="s">
        <v>244</v>
      </c>
      <c r="H29" s="3">
        <v>62</v>
      </c>
      <c r="I29" s="3" t="s">
        <v>243</v>
      </c>
      <c r="J29" s="3" t="s">
        <v>244</v>
      </c>
      <c r="K29" s="3">
        <v>0.08</v>
      </c>
      <c r="L29" s="3" t="s">
        <v>244</v>
      </c>
      <c r="M29" s="3"/>
      <c r="N29" s="46">
        <v>0.11</v>
      </c>
      <c r="O29" s="3" t="s">
        <v>244</v>
      </c>
      <c r="P29" s="3" t="s">
        <v>244</v>
      </c>
      <c r="Q29" s="3"/>
      <c r="R29" s="3"/>
      <c r="S29" s="3"/>
      <c r="T29" s="3"/>
      <c r="U29" s="3"/>
      <c r="V29" s="3">
        <v>0.08</v>
      </c>
      <c r="W29" s="3">
        <v>0.27</v>
      </c>
      <c r="X29" s="3" t="s">
        <v>244</v>
      </c>
      <c r="Y29" s="46">
        <v>0.4</v>
      </c>
      <c r="Z29" s="3"/>
      <c r="AA29" s="3">
        <v>0.95</v>
      </c>
      <c r="AB29" s="3" t="s">
        <v>244</v>
      </c>
      <c r="AC29" s="3">
        <v>0</v>
      </c>
      <c r="AD29" s="3">
        <v>1.08</v>
      </c>
      <c r="AE29" s="3">
        <v>0</v>
      </c>
      <c r="AF29" s="3">
        <v>7.34</v>
      </c>
      <c r="AG29" s="3"/>
      <c r="AH29" s="3" t="s">
        <v>244</v>
      </c>
      <c r="AI29" s="3">
        <v>1.7000000000000001E-2</v>
      </c>
      <c r="AJ29" s="3">
        <v>5.7</v>
      </c>
      <c r="AK29" s="3">
        <v>60</v>
      </c>
      <c r="AL29" s="3">
        <v>412</v>
      </c>
      <c r="AM29" s="3">
        <v>7.0000000000000007E-2</v>
      </c>
      <c r="AN29" s="3" t="s">
        <v>118</v>
      </c>
      <c r="AO29" s="3" t="s">
        <v>237</v>
      </c>
    </row>
    <row r="30" spans="1:41" ht="30" customHeight="1">
      <c r="A30" s="3" t="s">
        <v>591</v>
      </c>
      <c r="B30" s="69" t="s">
        <v>447</v>
      </c>
      <c r="C30" s="3" t="s">
        <v>155</v>
      </c>
      <c r="D30" s="33">
        <v>45503</v>
      </c>
      <c r="E30" s="3" t="s">
        <v>659</v>
      </c>
      <c r="F30" s="3"/>
      <c r="G30" s="3"/>
      <c r="H30" s="3">
        <v>35</v>
      </c>
      <c r="I30" s="3"/>
      <c r="J30" s="3"/>
      <c r="K30" s="3">
        <v>4.8000000000000001E-2</v>
      </c>
      <c r="L30" s="3"/>
      <c r="M30" s="3"/>
      <c r="N30" s="46"/>
      <c r="O30" s="3"/>
      <c r="P30" s="3"/>
      <c r="Q30" s="3"/>
      <c r="R30" s="3"/>
      <c r="S30" s="3"/>
      <c r="T30" s="3"/>
      <c r="U30" s="3"/>
      <c r="V30" s="3">
        <v>0.06</v>
      </c>
      <c r="W30" s="3">
        <v>0.33</v>
      </c>
      <c r="X30" s="3"/>
      <c r="Y30" s="3"/>
      <c r="Z30" s="3"/>
      <c r="AA30" s="3">
        <v>1.45</v>
      </c>
      <c r="AB30" s="3"/>
      <c r="AC30" s="3"/>
      <c r="AD30" s="3"/>
      <c r="AE30" s="3"/>
      <c r="AF30" s="3">
        <v>7.1</v>
      </c>
      <c r="AG30" s="3"/>
      <c r="AH30" s="3" t="s">
        <v>244</v>
      </c>
      <c r="AI30" s="3">
        <v>4.2000000000000003E-2</v>
      </c>
      <c r="AJ30" s="3">
        <v>5.6</v>
      </c>
      <c r="AK30" s="3"/>
      <c r="AL30" s="3"/>
      <c r="AM30" s="3"/>
      <c r="AN30" s="3" t="s">
        <v>118</v>
      </c>
      <c r="AO30" s="3" t="s">
        <v>237</v>
      </c>
    </row>
    <row r="31" spans="1:41" ht="30">
      <c r="A31" s="3" t="s">
        <v>241</v>
      </c>
      <c r="B31" s="69" t="s">
        <v>447</v>
      </c>
      <c r="C31" s="3" t="s">
        <v>155</v>
      </c>
      <c r="D31" s="33">
        <v>45548</v>
      </c>
      <c r="E31" s="3" t="s">
        <v>251</v>
      </c>
      <c r="F31" s="3"/>
      <c r="G31" s="3" t="s">
        <v>244</v>
      </c>
      <c r="H31" s="3">
        <v>63</v>
      </c>
      <c r="I31" s="3" t="s">
        <v>243</v>
      </c>
      <c r="J31" s="3"/>
      <c r="K31" s="3">
        <v>5.8999999999999997E-2</v>
      </c>
      <c r="L31" s="3"/>
      <c r="M31" s="3"/>
      <c r="N31" s="46">
        <v>0.1</v>
      </c>
      <c r="O31" s="3">
        <v>1.7999999999999999E-2</v>
      </c>
      <c r="P31" s="3"/>
      <c r="Q31" s="3"/>
      <c r="R31" s="3"/>
      <c r="S31" s="3"/>
      <c r="T31" s="3"/>
      <c r="U31" s="3"/>
      <c r="V31" s="3">
        <v>0.06</v>
      </c>
      <c r="W31" s="3">
        <v>0.26</v>
      </c>
      <c r="X31" s="3"/>
      <c r="Y31" s="3"/>
      <c r="Z31" s="3"/>
      <c r="AA31" s="3">
        <v>0.76</v>
      </c>
      <c r="AB31" s="3" t="s">
        <v>244</v>
      </c>
      <c r="AC31" s="3"/>
      <c r="AD31" s="3"/>
      <c r="AE31" s="3"/>
      <c r="AF31" s="3"/>
      <c r="AG31" s="3">
        <v>7.23</v>
      </c>
      <c r="AH31" s="3" t="s">
        <v>244</v>
      </c>
      <c r="AI31" s="3">
        <v>1.2E-2</v>
      </c>
      <c r="AJ31" s="3">
        <v>2.4</v>
      </c>
      <c r="AK31" s="3">
        <v>53</v>
      </c>
      <c r="AL31" s="3">
        <v>454</v>
      </c>
      <c r="AM31" s="3"/>
      <c r="AN31" s="3" t="s">
        <v>118</v>
      </c>
      <c r="AO31" s="3" t="s">
        <v>237</v>
      </c>
    </row>
    <row r="32" spans="1:41" ht="30">
      <c r="A32" s="3" t="s">
        <v>241</v>
      </c>
      <c r="B32" s="69" t="s">
        <v>447</v>
      </c>
      <c r="C32" s="3" t="s">
        <v>155</v>
      </c>
      <c r="D32" s="33">
        <v>45580</v>
      </c>
      <c r="E32" s="3" t="s">
        <v>379</v>
      </c>
      <c r="F32" s="3"/>
      <c r="G32" s="3"/>
      <c r="H32" s="3">
        <v>45</v>
      </c>
      <c r="I32" s="3"/>
      <c r="J32" s="3"/>
      <c r="K32" s="3"/>
      <c r="L32" s="3"/>
      <c r="M32" s="3"/>
      <c r="N32" s="46"/>
      <c r="O32" s="3"/>
      <c r="P32" s="3"/>
      <c r="Q32" s="3"/>
      <c r="R32" s="3"/>
      <c r="S32" s="3"/>
      <c r="T32" s="3"/>
      <c r="U32" s="3"/>
      <c r="V32" s="3">
        <v>0.05</v>
      </c>
      <c r="W32" s="3">
        <v>0.54</v>
      </c>
      <c r="X32" s="3"/>
      <c r="Y32" s="3"/>
      <c r="Z32" s="3"/>
      <c r="AA32" s="3"/>
      <c r="AB32" s="3"/>
      <c r="AC32" s="3"/>
      <c r="AD32" s="3"/>
      <c r="AE32" s="3"/>
      <c r="AF32" s="3"/>
      <c r="AG32" s="3">
        <v>6.97</v>
      </c>
      <c r="AH32" s="3"/>
      <c r="AI32" s="3">
        <v>6.9000000000000006E-2</v>
      </c>
      <c r="AJ32" s="3"/>
      <c r="AK32" s="3"/>
      <c r="AL32" s="3"/>
      <c r="AM32" s="3"/>
      <c r="AN32" s="3" t="s">
        <v>118</v>
      </c>
      <c r="AO32" s="3" t="s">
        <v>237</v>
      </c>
    </row>
    <row r="33" spans="1:41" ht="30">
      <c r="A33" s="3" t="s">
        <v>241</v>
      </c>
      <c r="B33" s="69" t="s">
        <v>447</v>
      </c>
      <c r="C33" s="3" t="s">
        <v>155</v>
      </c>
      <c r="D33" s="33">
        <v>45623</v>
      </c>
      <c r="E33" s="3" t="s">
        <v>424</v>
      </c>
      <c r="F33" s="3">
        <v>0.16</v>
      </c>
      <c r="G33" s="3">
        <f>28+3.1</f>
        <v>31.1</v>
      </c>
      <c r="H33" s="3">
        <f>78+5.3</f>
        <v>83.3</v>
      </c>
      <c r="I33" s="3" t="s">
        <v>425</v>
      </c>
      <c r="J33" s="3"/>
      <c r="K33" s="3">
        <f>0.049+0.12</f>
        <v>0.16899999999999998</v>
      </c>
      <c r="L33" s="3">
        <v>4.0000000000000001E-3</v>
      </c>
      <c r="M33" s="3">
        <v>2E-3</v>
      </c>
      <c r="N33" s="66">
        <f>0.039+0.0082</f>
        <v>4.7199999999999999E-2</v>
      </c>
      <c r="O33" s="3">
        <v>0.05</v>
      </c>
      <c r="P33" s="3"/>
      <c r="Q33" s="3"/>
      <c r="R33" s="3"/>
      <c r="S33" s="3"/>
      <c r="T33" s="3"/>
      <c r="U33" s="3" t="s">
        <v>445</v>
      </c>
      <c r="V33" s="3">
        <v>0.75</v>
      </c>
      <c r="W33" s="3" t="s">
        <v>426</v>
      </c>
      <c r="X33" s="3"/>
      <c r="Y33" s="3">
        <v>0.75</v>
      </c>
      <c r="Z33" s="3">
        <v>8.5</v>
      </c>
      <c r="AA33" s="3">
        <f>1.1+0.077</f>
        <v>1.177</v>
      </c>
      <c r="AB33" s="3">
        <f>3.6+0.5</f>
        <v>4.0999999999999996</v>
      </c>
      <c r="AC33" s="3"/>
      <c r="AD33" s="3"/>
      <c r="AE33" s="3"/>
      <c r="AF33" s="3">
        <f>7.64-0.12</f>
        <v>7.52</v>
      </c>
      <c r="AG33" s="3">
        <f>7.64+0.12</f>
        <v>7.76</v>
      </c>
      <c r="AH33" s="3">
        <f>0.27+0.06</f>
        <v>0.33</v>
      </c>
      <c r="AI33" s="3">
        <v>0.03</v>
      </c>
      <c r="AJ33" s="3">
        <f>5.6+0.45</f>
        <v>6.05</v>
      </c>
      <c r="AK33" s="3"/>
      <c r="AL33" s="3"/>
      <c r="AM33" s="3"/>
      <c r="AN33" s="3" t="s">
        <v>118</v>
      </c>
      <c r="AO33" s="3" t="s">
        <v>237</v>
      </c>
    </row>
    <row r="34" spans="1:41" ht="30.75" thickBot="1">
      <c r="A34" s="64" t="s">
        <v>241</v>
      </c>
      <c r="B34" s="106" t="s">
        <v>447</v>
      </c>
      <c r="C34" s="64" t="s">
        <v>155</v>
      </c>
      <c r="D34" s="84">
        <v>45637</v>
      </c>
      <c r="E34" s="64" t="s">
        <v>427</v>
      </c>
      <c r="F34" s="64">
        <v>7.6999999999999999E-2</v>
      </c>
      <c r="G34" s="64">
        <f>23+2.6</f>
        <v>25.6</v>
      </c>
      <c r="H34" s="64">
        <f>71+5.1</f>
        <v>76.099999999999994</v>
      </c>
      <c r="I34" s="64" t="s">
        <v>425</v>
      </c>
      <c r="J34" s="64"/>
      <c r="K34" s="64">
        <f>0.053+0.013</f>
        <v>6.6000000000000003E-2</v>
      </c>
      <c r="L34" s="64">
        <v>4.0000000000000001E-3</v>
      </c>
      <c r="M34" s="64">
        <v>2E-3</v>
      </c>
      <c r="N34" s="107">
        <f>0.037+0.0078</f>
        <v>4.48E-2</v>
      </c>
      <c r="O34" s="64">
        <v>0.05</v>
      </c>
      <c r="P34" s="64"/>
      <c r="Q34" s="64"/>
      <c r="R34" s="64"/>
      <c r="S34" s="64"/>
      <c r="T34" s="64"/>
      <c r="U34" s="64" t="s">
        <v>445</v>
      </c>
      <c r="V34" s="64">
        <v>0.51</v>
      </c>
      <c r="W34" s="64" t="s">
        <v>426</v>
      </c>
      <c r="X34" s="64"/>
      <c r="Y34" s="64">
        <v>0.51</v>
      </c>
      <c r="Z34" s="108">
        <v>12</v>
      </c>
      <c r="AA34" s="64">
        <f>1.2+0.084</f>
        <v>1.284</v>
      </c>
      <c r="AB34" s="64">
        <f>22+3</f>
        <v>25</v>
      </c>
      <c r="AC34" s="64"/>
      <c r="AD34" s="64"/>
      <c r="AE34" s="64"/>
      <c r="AF34" s="64">
        <f>7.38-0.12</f>
        <v>7.26</v>
      </c>
      <c r="AG34" s="64">
        <f>7.38+0.12</f>
        <v>7.5</v>
      </c>
      <c r="AH34" s="64">
        <f>2.1+0.47</f>
        <v>2.5700000000000003</v>
      </c>
      <c r="AI34" s="64">
        <v>0.03</v>
      </c>
      <c r="AJ34" s="64">
        <f>5.8+0.47</f>
        <v>6.27</v>
      </c>
      <c r="AK34" s="64"/>
      <c r="AL34" s="64"/>
      <c r="AM34" s="64"/>
      <c r="AN34" s="64" t="s">
        <v>118</v>
      </c>
      <c r="AO34" s="64" t="s">
        <v>237</v>
      </c>
    </row>
    <row r="35" spans="1:41" ht="30.75" thickTop="1">
      <c r="A35" s="38" t="s">
        <v>241</v>
      </c>
      <c r="B35" s="105" t="s">
        <v>447</v>
      </c>
      <c r="C35" s="38" t="s">
        <v>155</v>
      </c>
      <c r="D35" s="39">
        <v>45679</v>
      </c>
      <c r="E35" s="38" t="s">
        <v>431</v>
      </c>
      <c r="F35" s="38">
        <v>9.0999999999999998E-2</v>
      </c>
      <c r="G35" s="38">
        <f>34+3.8</f>
        <v>37.799999999999997</v>
      </c>
      <c r="H35" s="38">
        <f>85+5.5</f>
        <v>90.5</v>
      </c>
      <c r="I35" s="38" t="s">
        <v>425</v>
      </c>
      <c r="J35" s="38"/>
      <c r="K35" s="38">
        <f>0.054+0.013</f>
        <v>6.7000000000000004E-2</v>
      </c>
      <c r="L35" s="38">
        <v>4.0000000000000001E-3</v>
      </c>
      <c r="M35" s="38">
        <v>2E-3</v>
      </c>
      <c r="N35" s="94">
        <f>0.05+0.011</f>
        <v>6.0999999999999999E-2</v>
      </c>
      <c r="O35" s="38">
        <v>0.05</v>
      </c>
      <c r="P35" s="38"/>
      <c r="Q35" s="38"/>
      <c r="R35" s="38"/>
      <c r="S35" s="38"/>
      <c r="T35" s="38"/>
      <c r="U35" s="38" t="s">
        <v>445</v>
      </c>
      <c r="V35" s="38">
        <v>1.3</v>
      </c>
      <c r="W35" s="38">
        <v>0.24</v>
      </c>
      <c r="X35" s="38"/>
      <c r="Y35" s="38">
        <v>1.5</v>
      </c>
      <c r="Z35" s="38">
        <v>6.9</v>
      </c>
      <c r="AA35" s="38">
        <f>1.2+0.084</f>
        <v>1.284</v>
      </c>
      <c r="AB35" s="38">
        <f>19+2.6</f>
        <v>21.6</v>
      </c>
      <c r="AC35" s="38"/>
      <c r="AD35" s="38"/>
      <c r="AE35" s="38"/>
      <c r="AF35" s="38">
        <f>7.54-0.12</f>
        <v>7.42</v>
      </c>
      <c r="AG35" s="38">
        <f>7.54+0.12</f>
        <v>7.66</v>
      </c>
      <c r="AH35" s="38">
        <f>0.5+0.11</f>
        <v>0.61</v>
      </c>
      <c r="AI35" s="38">
        <v>0.03</v>
      </c>
      <c r="AJ35" s="38">
        <f>4+0.32</f>
        <v>4.32</v>
      </c>
      <c r="AK35" s="38"/>
      <c r="AL35" s="38"/>
      <c r="AM35" s="38"/>
      <c r="AN35" s="38" t="s">
        <v>118</v>
      </c>
      <c r="AO35" s="38" t="s">
        <v>237</v>
      </c>
    </row>
    <row r="36" spans="1:41" ht="30">
      <c r="A36" s="3" t="s">
        <v>241</v>
      </c>
      <c r="B36" s="69" t="s">
        <v>447</v>
      </c>
      <c r="C36" s="3" t="s">
        <v>155</v>
      </c>
      <c r="D36" s="33">
        <v>45713</v>
      </c>
      <c r="E36" s="3" t="s">
        <v>453</v>
      </c>
      <c r="F36" s="3">
        <v>0.1</v>
      </c>
      <c r="G36" s="3">
        <f>33+3.7</f>
        <v>36.700000000000003</v>
      </c>
      <c r="H36" s="3">
        <f>83+11</f>
        <v>94</v>
      </c>
      <c r="I36" s="3" t="s">
        <v>425</v>
      </c>
      <c r="J36" s="3">
        <v>0.1</v>
      </c>
      <c r="K36" s="3">
        <f>0.064+0.015</f>
        <v>7.9000000000000001E-2</v>
      </c>
      <c r="L36" s="3">
        <v>4.0000000000000001E-3</v>
      </c>
      <c r="M36" s="3">
        <v>2E-3</v>
      </c>
      <c r="N36" s="66">
        <f>0.024+0.0051</f>
        <v>2.9100000000000001E-2</v>
      </c>
      <c r="O36" s="3">
        <v>0.05</v>
      </c>
      <c r="P36" s="3"/>
      <c r="Q36" s="3"/>
      <c r="R36" s="3"/>
      <c r="S36" s="3"/>
      <c r="T36" s="3" t="s">
        <v>445</v>
      </c>
      <c r="U36" s="3" t="s">
        <v>445</v>
      </c>
      <c r="V36" s="3">
        <v>0.27</v>
      </c>
      <c r="W36" s="3">
        <v>0.38</v>
      </c>
      <c r="X36" s="3"/>
      <c r="Y36" s="3">
        <f>V36+W36</f>
        <v>0.65</v>
      </c>
      <c r="Z36" s="3">
        <v>7.2</v>
      </c>
      <c r="AA36" s="3">
        <f>1.8+0.13</f>
        <v>1.9300000000000002</v>
      </c>
      <c r="AB36" s="3">
        <f>6.4+0.6</f>
        <v>7</v>
      </c>
      <c r="AC36" s="3"/>
      <c r="AD36" s="3"/>
      <c r="AE36" s="3"/>
      <c r="AF36" s="3">
        <f>7.72</f>
        <v>7.72</v>
      </c>
      <c r="AG36" s="3">
        <f>7.72</f>
        <v>7.72</v>
      </c>
      <c r="AH36" s="3">
        <f>0.78+0.17</f>
        <v>0.95000000000000007</v>
      </c>
      <c r="AI36" s="3">
        <v>0.03</v>
      </c>
      <c r="AJ36" s="3">
        <f>0.93+0.078</f>
        <v>1.008</v>
      </c>
      <c r="AK36" s="3">
        <f>43+5.5</f>
        <v>48.5</v>
      </c>
      <c r="AL36" s="3">
        <f>400+28</f>
        <v>428</v>
      </c>
      <c r="AM36" s="3"/>
      <c r="AN36" s="3" t="s">
        <v>118</v>
      </c>
      <c r="AO36" s="3" t="s">
        <v>237</v>
      </c>
    </row>
    <row r="37" spans="1:41" ht="30">
      <c r="A37" s="3" t="s">
        <v>241</v>
      </c>
      <c r="B37" s="69" t="s">
        <v>447</v>
      </c>
      <c r="C37" s="3" t="s">
        <v>155</v>
      </c>
      <c r="D37" s="33">
        <v>45737</v>
      </c>
      <c r="E37" s="3" t="s">
        <v>459</v>
      </c>
      <c r="F37" s="3">
        <v>7.4999999999999997E-2</v>
      </c>
      <c r="G37" s="3">
        <f>27+3</f>
        <v>30</v>
      </c>
      <c r="H37" s="3">
        <f>68+8.7</f>
        <v>76.7</v>
      </c>
      <c r="I37" s="3" t="s">
        <v>464</v>
      </c>
      <c r="J37" s="3"/>
      <c r="K37" s="66">
        <f>0.048+0.012</f>
        <v>0.06</v>
      </c>
      <c r="L37" s="3">
        <v>4.0000000000000001E-3</v>
      </c>
      <c r="M37" s="3">
        <v>2E-3</v>
      </c>
      <c r="N37" s="71">
        <f>0.016+0.0034</f>
        <v>1.9400000000000001E-2</v>
      </c>
      <c r="O37" s="3">
        <v>0.05</v>
      </c>
      <c r="P37" s="3"/>
      <c r="Q37" s="3"/>
      <c r="R37" s="3"/>
      <c r="S37" s="3"/>
      <c r="T37" s="3"/>
      <c r="U37" s="3" t="s">
        <v>445</v>
      </c>
      <c r="V37" s="3">
        <v>1.5</v>
      </c>
      <c r="W37" s="3">
        <v>0.42</v>
      </c>
      <c r="X37" s="3"/>
      <c r="Y37" s="3"/>
      <c r="Z37" s="87">
        <v>6</v>
      </c>
      <c r="AA37" s="3">
        <f>1.8+0.13</f>
        <v>1.9300000000000002</v>
      </c>
      <c r="AB37" s="3">
        <f>15+0.6</f>
        <v>15.6</v>
      </c>
      <c r="AC37" s="3"/>
      <c r="AD37" s="3"/>
      <c r="AE37" s="3"/>
      <c r="AF37" s="3">
        <f>7.46-0.17</f>
        <v>7.29</v>
      </c>
      <c r="AG37" s="3">
        <f>7.46+0.17</f>
        <v>7.63</v>
      </c>
      <c r="AH37" s="3">
        <f>1.4+0.31</f>
        <v>1.71</v>
      </c>
      <c r="AI37" s="3">
        <v>0.03</v>
      </c>
      <c r="AJ37" s="3">
        <f>1.4+0.12</f>
        <v>1.52</v>
      </c>
      <c r="AK37" s="3"/>
      <c r="AL37" s="3"/>
      <c r="AM37" s="3"/>
      <c r="AN37" s="3" t="s">
        <v>118</v>
      </c>
      <c r="AO37" s="3" t="s">
        <v>237</v>
      </c>
    </row>
    <row r="38" spans="1:41" ht="30">
      <c r="A38" s="3" t="s">
        <v>241</v>
      </c>
      <c r="B38" s="69" t="s">
        <v>447</v>
      </c>
      <c r="C38" s="3" t="s">
        <v>155</v>
      </c>
      <c r="D38" s="33">
        <v>45758</v>
      </c>
      <c r="E38" s="3" t="s">
        <v>666</v>
      </c>
      <c r="F38" s="3">
        <v>6.5000000000000002E-2</v>
      </c>
      <c r="G38" s="3">
        <f>36+4</f>
        <v>40</v>
      </c>
      <c r="H38" s="3">
        <f>68+8.7</f>
        <v>76.7</v>
      </c>
      <c r="I38" s="3" t="s">
        <v>667</v>
      </c>
      <c r="J38" s="3"/>
      <c r="K38" s="66">
        <f>0.059+0.014</f>
        <v>7.2999999999999995E-2</v>
      </c>
      <c r="L38" s="3">
        <v>4.0000000000000001E-3</v>
      </c>
      <c r="M38" s="3">
        <v>2E-3</v>
      </c>
      <c r="N38" s="71">
        <f>0.0096+0.002</f>
        <v>1.1599999999999999E-2</v>
      </c>
      <c r="O38" s="3">
        <v>0.05</v>
      </c>
      <c r="P38" s="3"/>
      <c r="Q38" s="3"/>
      <c r="R38" s="3"/>
      <c r="S38" s="3"/>
      <c r="T38" s="3"/>
      <c r="U38" s="3" t="s">
        <v>445</v>
      </c>
      <c r="V38" s="3">
        <v>1.5</v>
      </c>
      <c r="W38" s="3">
        <v>0.38</v>
      </c>
      <c r="X38" s="3"/>
      <c r="Y38" s="3"/>
      <c r="Z38" s="87">
        <v>6.7</v>
      </c>
      <c r="AA38" s="3">
        <f>0.33+0.023</f>
        <v>0.35300000000000004</v>
      </c>
      <c r="AB38" s="3">
        <f>13+0.6</f>
        <v>13.6</v>
      </c>
      <c r="AC38" s="3"/>
      <c r="AD38" s="3"/>
      <c r="AE38" s="3"/>
      <c r="AF38" s="3">
        <f>7.72-0.17</f>
        <v>7.55</v>
      </c>
      <c r="AG38" s="3">
        <f>7.72+0.17</f>
        <v>7.89</v>
      </c>
      <c r="AH38" s="3">
        <f>1.5+0.33</f>
        <v>1.83</v>
      </c>
      <c r="AI38" s="3">
        <f>0.052+0.0084</f>
        <v>6.0399999999999995E-2</v>
      </c>
      <c r="AJ38" s="3">
        <f>1.9+0.16</f>
        <v>2.06</v>
      </c>
      <c r="AK38" s="3"/>
      <c r="AL38" s="3"/>
      <c r="AM38" s="3">
        <v>1E-3</v>
      </c>
      <c r="AN38" s="3" t="s">
        <v>118</v>
      </c>
      <c r="AO38" s="3" t="s">
        <v>237</v>
      </c>
    </row>
    <row r="39" spans="1:41" ht="30">
      <c r="A39" s="3" t="s">
        <v>241</v>
      </c>
      <c r="B39" s="69" t="s">
        <v>447</v>
      </c>
      <c r="C39" s="3" t="s">
        <v>155</v>
      </c>
      <c r="D39" s="33">
        <v>45790</v>
      </c>
      <c r="E39" s="3" t="s">
        <v>687</v>
      </c>
      <c r="F39" s="3">
        <v>4.8000000000000001E-2</v>
      </c>
      <c r="G39" s="3">
        <f>16+1.8</f>
        <v>17.8</v>
      </c>
      <c r="H39" s="3">
        <f>40+5.1</f>
        <v>45.1</v>
      </c>
      <c r="I39" s="3" t="s">
        <v>688</v>
      </c>
      <c r="J39" s="3"/>
      <c r="K39" s="66">
        <f>0.04+0.0096</f>
        <v>4.9599999999999998E-2</v>
      </c>
      <c r="L39" s="3">
        <v>4.0000000000000001E-3</v>
      </c>
      <c r="M39" s="3">
        <v>2E-3</v>
      </c>
      <c r="N39" s="71">
        <f>0.023+0.0049</f>
        <v>2.7900000000000001E-2</v>
      </c>
      <c r="O39" s="3">
        <v>0.05</v>
      </c>
      <c r="P39" s="3"/>
      <c r="Q39" s="3"/>
      <c r="R39" s="3"/>
      <c r="S39" s="3"/>
      <c r="T39" s="3"/>
      <c r="U39" s="3" t="s">
        <v>445</v>
      </c>
      <c r="V39" s="3">
        <v>0.2</v>
      </c>
      <c r="W39" s="3">
        <v>0.28000000000000003</v>
      </c>
      <c r="X39" s="3"/>
      <c r="Y39" s="3"/>
      <c r="Z39" s="87">
        <v>4.8</v>
      </c>
      <c r="AA39" s="3">
        <f>0.19+0.013</f>
        <v>0.20300000000000001</v>
      </c>
      <c r="AB39" s="3">
        <f>12+0.6</f>
        <v>12.6</v>
      </c>
      <c r="AC39" s="3"/>
      <c r="AD39" s="3"/>
      <c r="AE39" s="3"/>
      <c r="AF39" s="3">
        <f>7.24-0.17</f>
        <v>7.07</v>
      </c>
      <c r="AG39" s="3">
        <f>7.24+0.17</f>
        <v>7.41</v>
      </c>
      <c r="AH39" s="3">
        <f>0.71+0.16</f>
        <v>0.87</v>
      </c>
      <c r="AI39" s="3">
        <v>0.03</v>
      </c>
      <c r="AJ39" s="3">
        <f>3+0.24</f>
        <v>3.24</v>
      </c>
      <c r="AK39" s="3"/>
      <c r="AL39" s="3"/>
      <c r="AM39" s="3"/>
      <c r="AN39" s="3" t="s">
        <v>118</v>
      </c>
      <c r="AO39" s="3" t="s">
        <v>237</v>
      </c>
    </row>
    <row r="40" spans="1:41" ht="30">
      <c r="A40" s="3" t="s">
        <v>241</v>
      </c>
      <c r="B40" s="69" t="s">
        <v>447</v>
      </c>
      <c r="C40" s="3" t="s">
        <v>155</v>
      </c>
      <c r="D40" s="33">
        <v>45832</v>
      </c>
      <c r="E40" s="3" t="s">
        <v>673</v>
      </c>
      <c r="F40" s="3">
        <v>5.2999999999999999E-2</v>
      </c>
      <c r="G40" s="3">
        <f>13+1.5</f>
        <v>14.5</v>
      </c>
      <c r="H40" s="3">
        <f>33+4.2</f>
        <v>37.200000000000003</v>
      </c>
      <c r="I40" s="3" t="s">
        <v>667</v>
      </c>
      <c r="J40" s="3"/>
      <c r="K40" s="66">
        <v>4.2000000000000003E-2</v>
      </c>
      <c r="L40" s="3">
        <v>4.0000000000000001E-3</v>
      </c>
      <c r="M40" s="3">
        <v>2E-3</v>
      </c>
      <c r="N40" s="71">
        <f>0.0083+0.0018</f>
        <v>1.01E-2</v>
      </c>
      <c r="O40" s="3">
        <v>0.05</v>
      </c>
      <c r="P40" s="3"/>
      <c r="Q40" s="3"/>
      <c r="R40" s="3"/>
      <c r="S40" s="3"/>
      <c r="T40" s="3"/>
      <c r="U40" s="3" t="s">
        <v>445</v>
      </c>
      <c r="V40" s="3">
        <v>0.2</v>
      </c>
      <c r="W40" s="3">
        <v>0.34</v>
      </c>
      <c r="X40" s="3"/>
      <c r="Y40" s="3"/>
      <c r="Z40" s="87">
        <v>5.8</v>
      </c>
      <c r="AA40" s="3">
        <f>0.89+0.062</f>
        <v>0.95199999999999996</v>
      </c>
      <c r="AB40" s="3">
        <f>8.3+0.6</f>
        <v>8.9</v>
      </c>
      <c r="AC40" s="3"/>
      <c r="AD40" s="3"/>
      <c r="AE40" s="3"/>
      <c r="AF40" s="3">
        <f>7.5-0.17</f>
        <v>7.33</v>
      </c>
      <c r="AG40" s="3">
        <f>7.5+0.17</f>
        <v>7.67</v>
      </c>
      <c r="AH40" s="3">
        <f>0.41+0.091</f>
        <v>0.501</v>
      </c>
      <c r="AI40" s="3">
        <v>0.03</v>
      </c>
      <c r="AJ40" s="3">
        <f>3.4+0.28</f>
        <v>3.6799999999999997</v>
      </c>
      <c r="AK40" s="3"/>
      <c r="AL40" s="3"/>
      <c r="AM40" s="3"/>
      <c r="AN40" s="3" t="s">
        <v>118</v>
      </c>
      <c r="AO40" s="3" t="s">
        <v>237</v>
      </c>
    </row>
    <row r="41" spans="1:41" ht="30">
      <c r="A41" s="3" t="s">
        <v>241</v>
      </c>
      <c r="B41" s="69" t="s">
        <v>447</v>
      </c>
      <c r="C41" s="3" t="s">
        <v>155</v>
      </c>
      <c r="D41" s="33">
        <v>45853</v>
      </c>
      <c r="E41" s="3" t="s">
        <v>680</v>
      </c>
      <c r="F41" s="3">
        <v>7.4999999999999997E-2</v>
      </c>
      <c r="G41" s="3">
        <f>27+3</f>
        <v>30</v>
      </c>
      <c r="H41" s="3">
        <f>66+8.4</f>
        <v>74.400000000000006</v>
      </c>
      <c r="I41" s="3" t="s">
        <v>425</v>
      </c>
      <c r="J41" s="3">
        <v>0.1</v>
      </c>
      <c r="K41" s="66">
        <f>0.058+0.014</f>
        <v>7.2000000000000008E-2</v>
      </c>
      <c r="L41" s="3">
        <v>4.0000000000000001E-3</v>
      </c>
      <c r="M41" s="3">
        <v>2E-3</v>
      </c>
      <c r="N41" s="71">
        <f>0.023+0.0049</f>
        <v>2.7900000000000001E-2</v>
      </c>
      <c r="O41" s="3">
        <v>0.05</v>
      </c>
      <c r="P41" s="3"/>
      <c r="Q41" s="3"/>
      <c r="R41" s="3"/>
      <c r="S41" s="3"/>
      <c r="T41" s="3" t="s">
        <v>445</v>
      </c>
      <c r="U41" s="3" t="s">
        <v>445</v>
      </c>
      <c r="V41" s="3">
        <v>0.2</v>
      </c>
      <c r="W41" s="3">
        <v>0.55000000000000004</v>
      </c>
      <c r="X41" s="3"/>
      <c r="Y41" s="3"/>
      <c r="Z41" s="87">
        <v>12</v>
      </c>
      <c r="AA41" s="3">
        <f>0.555+0.039</f>
        <v>0.59400000000000008</v>
      </c>
      <c r="AB41" s="3">
        <f>6+0.6</f>
        <v>6.6</v>
      </c>
      <c r="AC41" s="3"/>
      <c r="AD41" s="3"/>
      <c r="AE41" s="3"/>
      <c r="AF41" s="3">
        <f>7.02-0.17</f>
        <v>6.85</v>
      </c>
      <c r="AG41" s="3">
        <f>7.02+0.17</f>
        <v>7.1899999999999995</v>
      </c>
      <c r="AH41" s="3">
        <f>0.29+0.065</f>
        <v>0.35499999999999998</v>
      </c>
      <c r="AI41" s="3">
        <v>0.03</v>
      </c>
      <c r="AJ41" s="3">
        <f>8.8+0.71</f>
        <v>9.5100000000000016</v>
      </c>
      <c r="AK41" s="3">
        <f>50+6.4</f>
        <v>56.4</v>
      </c>
      <c r="AL41" s="3">
        <f>370+26</f>
        <v>396</v>
      </c>
      <c r="AM41" s="3"/>
      <c r="AN41" s="3" t="s">
        <v>118</v>
      </c>
      <c r="AO41" s="3" t="s">
        <v>237</v>
      </c>
    </row>
    <row r="42" spans="1:41" ht="30">
      <c r="A42" s="3" t="s">
        <v>241</v>
      </c>
      <c r="B42" s="69" t="s">
        <v>447</v>
      </c>
      <c r="C42" s="3" t="s">
        <v>155</v>
      </c>
      <c r="D42" s="33">
        <v>45904</v>
      </c>
      <c r="E42" s="3" t="s">
        <v>694</v>
      </c>
      <c r="F42" s="3">
        <v>8.1000000000000003E-2</v>
      </c>
      <c r="G42" s="3">
        <f>21.7+2.5</f>
        <v>24.2</v>
      </c>
      <c r="H42" s="3">
        <f>53.8+6.9</f>
        <v>60.699999999999996</v>
      </c>
      <c r="I42" s="3" t="s">
        <v>425</v>
      </c>
      <c r="J42" s="3">
        <v>0.1</v>
      </c>
      <c r="K42" s="66">
        <f>0.061+0.015</f>
        <v>7.5999999999999998E-2</v>
      </c>
      <c r="L42" s="3">
        <v>4.0000000000000001E-3</v>
      </c>
      <c r="M42" s="3">
        <v>2E-3</v>
      </c>
      <c r="N42" s="71">
        <f>0.0095+0.002</f>
        <v>1.15E-2</v>
      </c>
      <c r="O42" s="3">
        <v>0.05</v>
      </c>
      <c r="P42" s="3"/>
      <c r="Q42" s="3"/>
      <c r="R42" s="3"/>
      <c r="S42" s="3"/>
      <c r="T42" s="3" t="s">
        <v>445</v>
      </c>
      <c r="U42" s="3" t="s">
        <v>445</v>
      </c>
      <c r="V42" s="3">
        <v>0.28000000000000003</v>
      </c>
      <c r="W42" s="3">
        <v>0.48</v>
      </c>
      <c r="X42" s="3"/>
      <c r="Y42" s="3"/>
      <c r="Z42" s="87">
        <v>9.1999999999999993</v>
      </c>
      <c r="AA42" s="3">
        <f>0.873+0.061</f>
        <v>0.93399999999999994</v>
      </c>
      <c r="AB42" s="3">
        <f>5.6+0.6</f>
        <v>6.1999999999999993</v>
      </c>
      <c r="AC42" s="3"/>
      <c r="AD42" s="3"/>
      <c r="AE42" s="3"/>
      <c r="AF42" s="3">
        <f>7.6-0.17</f>
        <v>7.43</v>
      </c>
      <c r="AG42" s="3">
        <f>7.46+0.17</f>
        <v>7.63</v>
      </c>
      <c r="AH42" s="3">
        <f>0.218+0.049</f>
        <v>0.26700000000000002</v>
      </c>
      <c r="AI42" s="3">
        <v>0.03</v>
      </c>
      <c r="AJ42" s="3">
        <f>5.72+0.46</f>
        <v>6.18</v>
      </c>
      <c r="AK42" s="3">
        <f>44.5+5.6</f>
        <v>50.1</v>
      </c>
      <c r="AL42" s="3">
        <f>400+28</f>
        <v>428</v>
      </c>
      <c r="AM42" s="3"/>
      <c r="AN42" s="3" t="s">
        <v>118</v>
      </c>
      <c r="AO42" s="3" t="s">
        <v>237</v>
      </c>
    </row>
    <row r="43" spans="1:41" ht="30">
      <c r="A43" s="3" t="s">
        <v>241</v>
      </c>
      <c r="B43" s="69" t="s">
        <v>447</v>
      </c>
      <c r="C43" s="3" t="s">
        <v>155</v>
      </c>
      <c r="D43" s="33">
        <v>45939</v>
      </c>
      <c r="E43" s="3" t="s">
        <v>700</v>
      </c>
      <c r="F43" s="46">
        <v>0.1</v>
      </c>
      <c r="G43" s="3">
        <f>33.4+3.7</f>
        <v>37.1</v>
      </c>
      <c r="H43" s="3">
        <f>83+11</f>
        <v>94</v>
      </c>
      <c r="I43" s="3" t="s">
        <v>701</v>
      </c>
      <c r="J43" s="3"/>
      <c r="K43" s="66">
        <f>0.054+0.012</f>
        <v>6.6000000000000003E-2</v>
      </c>
      <c r="L43" s="3">
        <v>4.0000000000000001E-3</v>
      </c>
      <c r="M43" s="3">
        <v>2E-3</v>
      </c>
      <c r="N43" s="71">
        <f>0.052+0.011</f>
        <v>6.3E-2</v>
      </c>
      <c r="O43" s="3">
        <v>0.05</v>
      </c>
      <c r="P43" s="3"/>
      <c r="Q43" s="3"/>
      <c r="R43" s="3"/>
      <c r="S43" s="3"/>
      <c r="T43" s="3"/>
      <c r="U43" s="3" t="s">
        <v>445</v>
      </c>
      <c r="V43" s="3">
        <v>0.2</v>
      </c>
      <c r="W43" s="3">
        <v>0.37</v>
      </c>
      <c r="X43" s="3"/>
      <c r="Y43" s="3"/>
      <c r="Z43" s="87">
        <v>11</v>
      </c>
      <c r="AA43" s="3">
        <f>1.018+0.07</f>
        <v>1.0880000000000001</v>
      </c>
      <c r="AB43" s="3">
        <f>20+1</f>
        <v>21</v>
      </c>
      <c r="AC43" s="3"/>
      <c r="AD43" s="3"/>
      <c r="AE43" s="3"/>
      <c r="AF43" s="3">
        <f>7.44-0.17</f>
        <v>7.2700000000000005</v>
      </c>
      <c r="AG43" s="3">
        <f>7.44+0.17</f>
        <v>7.61</v>
      </c>
      <c r="AH43" s="3">
        <f>0.98+0.22</f>
        <v>1.2</v>
      </c>
      <c r="AI43" s="3">
        <v>0.03</v>
      </c>
      <c r="AJ43" s="3">
        <f>6.56+0.53</f>
        <v>7.09</v>
      </c>
      <c r="AK43" s="3"/>
      <c r="AL43" s="3"/>
      <c r="AM43" s="3"/>
      <c r="AN43" s="3" t="s">
        <v>118</v>
      </c>
      <c r="AO43" s="3" t="s">
        <v>237</v>
      </c>
    </row>
    <row r="44" spans="1:41" ht="30">
      <c r="A44" s="3" t="s">
        <v>241</v>
      </c>
      <c r="B44" s="69" t="s">
        <v>447</v>
      </c>
      <c r="C44" s="3" t="s">
        <v>155</v>
      </c>
      <c r="D44" s="33">
        <v>45974</v>
      </c>
      <c r="E44" s="3" t="s">
        <v>707</v>
      </c>
      <c r="F44" s="66">
        <v>4.9000000000000002E-2</v>
      </c>
      <c r="G44" s="3">
        <f>33.2+3.7</f>
        <v>36.900000000000006</v>
      </c>
      <c r="H44" s="3">
        <f>90+11</f>
        <v>101</v>
      </c>
      <c r="I44" s="3" t="s">
        <v>701</v>
      </c>
      <c r="J44" s="3"/>
      <c r="K44" s="66">
        <f>0.067+0.016</f>
        <v>8.3000000000000004E-2</v>
      </c>
      <c r="L44" s="3">
        <v>4.0000000000000001E-3</v>
      </c>
      <c r="M44" s="3">
        <v>2E-3</v>
      </c>
      <c r="N44" s="71">
        <f>0.051+0.011</f>
        <v>6.2E-2</v>
      </c>
      <c r="O44" s="3">
        <v>0.05</v>
      </c>
      <c r="P44" s="3"/>
      <c r="Q44" s="3"/>
      <c r="R44" s="3"/>
      <c r="S44" s="3"/>
      <c r="T44" s="3"/>
      <c r="U44" s="3" t="s">
        <v>445</v>
      </c>
      <c r="V44" s="3">
        <v>0.62</v>
      </c>
      <c r="W44" s="3">
        <v>0.57999999999999996</v>
      </c>
      <c r="X44" s="3"/>
      <c r="Y44" s="3"/>
      <c r="Z44" s="87">
        <v>11</v>
      </c>
      <c r="AA44" s="3">
        <f>1.8+0.13</f>
        <v>1.9300000000000002</v>
      </c>
      <c r="AB44" s="3">
        <f>18+0.6</f>
        <v>18.600000000000001</v>
      </c>
      <c r="AC44" s="3"/>
      <c r="AD44" s="3"/>
      <c r="AE44" s="3"/>
      <c r="AF44" s="3">
        <f>7.89-0.17</f>
        <v>7.72</v>
      </c>
      <c r="AG44" s="3">
        <f>7.89+0.17</f>
        <v>8.06</v>
      </c>
      <c r="AH44" s="3">
        <f>0.84+0.19</f>
        <v>1.03</v>
      </c>
      <c r="AI44" s="3">
        <v>0.03</v>
      </c>
      <c r="AJ44" s="3">
        <f>6.72+0.54</f>
        <v>7.26</v>
      </c>
      <c r="AK44" s="3"/>
      <c r="AL44" s="3"/>
      <c r="AM44" s="3"/>
      <c r="AN44" s="3" t="s">
        <v>118</v>
      </c>
      <c r="AO44" s="3" t="s">
        <v>237</v>
      </c>
    </row>
    <row r="45" spans="1:41" ht="30.75" thickBot="1">
      <c r="A45" s="64" t="s">
        <v>241</v>
      </c>
      <c r="B45" s="106" t="s">
        <v>447</v>
      </c>
      <c r="C45" s="64" t="s">
        <v>155</v>
      </c>
      <c r="D45" s="84">
        <v>46009</v>
      </c>
      <c r="E45" s="64" t="s">
        <v>748</v>
      </c>
      <c r="F45" s="107">
        <v>0.15</v>
      </c>
      <c r="G45" s="64">
        <f>15.8+1.8</f>
        <v>17.600000000000001</v>
      </c>
      <c r="H45" s="64">
        <f>40.7+5.2</f>
        <v>45.900000000000006</v>
      </c>
      <c r="I45" s="64" t="s">
        <v>701</v>
      </c>
      <c r="J45" s="64">
        <v>0.1</v>
      </c>
      <c r="K45" s="107">
        <f>0.053+0.013</f>
        <v>6.6000000000000003E-2</v>
      </c>
      <c r="L45" s="64">
        <v>4.0000000000000001E-3</v>
      </c>
      <c r="M45" s="64">
        <v>2E-3</v>
      </c>
      <c r="N45" s="109">
        <f>0.036+0.0076</f>
        <v>4.36E-2</v>
      </c>
      <c r="O45" s="64">
        <v>0.05</v>
      </c>
      <c r="P45" s="64"/>
      <c r="Q45" s="64"/>
      <c r="R45" s="64"/>
      <c r="S45" s="64"/>
      <c r="T45" s="64" t="s">
        <v>445</v>
      </c>
      <c r="U45" s="64" t="s">
        <v>445</v>
      </c>
      <c r="V45" s="64">
        <v>0.2</v>
      </c>
      <c r="W45" s="64">
        <v>0.38</v>
      </c>
      <c r="X45" s="64"/>
      <c r="Y45" s="64"/>
      <c r="Z45" s="103">
        <v>6</v>
      </c>
      <c r="AA45" s="64">
        <f>1.043+0.07</f>
        <v>1.113</v>
      </c>
      <c r="AB45" s="64">
        <f>4.8+0.6</f>
        <v>5.3999999999999995</v>
      </c>
      <c r="AC45" s="64">
        <v>0</v>
      </c>
      <c r="AD45" s="64">
        <v>19</v>
      </c>
      <c r="AE45" s="64">
        <v>0</v>
      </c>
      <c r="AF45" s="64">
        <f>8.01-0.17</f>
        <v>7.84</v>
      </c>
      <c r="AG45" s="64">
        <f>8.01+0.17</f>
        <v>8.18</v>
      </c>
      <c r="AH45" s="64">
        <f>0.142+0.031</f>
        <v>0.17299999999999999</v>
      </c>
      <c r="AI45" s="64">
        <v>0.03</v>
      </c>
      <c r="AJ45" s="64">
        <f>3.98+0.32</f>
        <v>4.3</v>
      </c>
      <c r="AK45" s="64">
        <f>44.1+5.6</f>
        <v>49.7</v>
      </c>
      <c r="AL45" s="64">
        <f>453+32</f>
        <v>485</v>
      </c>
      <c r="AM45" s="64">
        <v>1E-3</v>
      </c>
      <c r="AN45" s="64" t="s">
        <v>118</v>
      </c>
      <c r="AO45" s="64" t="s">
        <v>237</v>
      </c>
    </row>
    <row r="46" spans="1:41" ht="15.75" thickTop="1"/>
    <row r="49" spans="5:5">
      <c r="E49" s="53"/>
    </row>
  </sheetData>
  <autoFilter ref="A6:AO35" xr:uid="{00000000-0009-0000-0000-00000F000000}"/>
  <mergeCells count="15">
    <mergeCell ref="B4:B7"/>
    <mergeCell ref="C7:E7"/>
    <mergeCell ref="A1:AO1"/>
    <mergeCell ref="A2:AO2"/>
    <mergeCell ref="C3:AO3"/>
    <mergeCell ref="AN4:AN6"/>
    <mergeCell ref="AO4:AO6"/>
    <mergeCell ref="F4:AM4"/>
    <mergeCell ref="A4:A7"/>
    <mergeCell ref="V7:W7"/>
    <mergeCell ref="AF6:AG6"/>
    <mergeCell ref="AF5:AG5"/>
    <mergeCell ref="E4:E6"/>
    <mergeCell ref="D4:D6"/>
    <mergeCell ref="C4:C6"/>
  </mergeCells>
  <phoneticPr fontId="14" type="noConversion"/>
  <conditionalFormatting sqref="F33:F2008">
    <cfRule type="cellIs" dxfId="86" priority="50" operator="between">
      <formula>0.32</formula>
      <formula>0.4</formula>
    </cfRule>
    <cfRule type="cellIs" dxfId="85" priority="49" operator="greaterThan">
      <formula>0.4</formula>
    </cfRule>
  </conditionalFormatting>
  <conditionalFormatting sqref="G33:G2008">
    <cfRule type="cellIs" dxfId="84" priority="48" operator="between">
      <formula>32</formula>
      <formula>40</formula>
    </cfRule>
    <cfRule type="cellIs" dxfId="83" priority="47" operator="greaterThan">
      <formula>40</formula>
    </cfRule>
  </conditionalFormatting>
  <conditionalFormatting sqref="H33:H2008">
    <cfRule type="cellIs" dxfId="82" priority="46" operator="between">
      <formula>80</formula>
      <formula>100</formula>
    </cfRule>
    <cfRule type="cellIs" dxfId="81" priority="45" operator="greaterThan">
      <formula>100</formula>
    </cfRule>
  </conditionalFormatting>
  <conditionalFormatting sqref="J33:J2008">
    <cfRule type="cellIs" dxfId="80" priority="43" operator="between">
      <formula>4</formula>
      <formula>5</formula>
    </cfRule>
    <cfRule type="cellIs" dxfId="79" priority="42" operator="greaterThan">
      <formula>5</formula>
    </cfRule>
  </conditionalFormatting>
  <conditionalFormatting sqref="K33:K2008">
    <cfRule type="cellIs" dxfId="78" priority="41" operator="between">
      <formula>0.24</formula>
      <formula>"0.30"</formula>
    </cfRule>
    <cfRule type="cellIs" dxfId="77" priority="40" operator="greaterThan">
      <formula>0.3</formula>
    </cfRule>
  </conditionalFormatting>
  <conditionalFormatting sqref="L33:M2008">
    <cfRule type="cellIs" dxfId="76" priority="37" operator="between">
      <formula>0.08</formula>
      <formula>0.1</formula>
    </cfRule>
    <cfRule type="cellIs" dxfId="75" priority="36" operator="greaterThan">
      <formula>0.1</formula>
    </cfRule>
  </conditionalFormatting>
  <conditionalFormatting sqref="N33:N2008">
    <cfRule type="cellIs" dxfId="74" priority="35" operator="between">
      <formula>0.4</formula>
      <formula>0.5</formula>
    </cfRule>
    <cfRule type="cellIs" dxfId="73" priority="34" operator="greaterThan">
      <formula>0.5</formula>
    </cfRule>
  </conditionalFormatting>
  <conditionalFormatting sqref="O33:O2008">
    <cfRule type="cellIs" dxfId="72" priority="33" operator="between">
      <formula>0.16</formula>
      <formula>0.2</formula>
    </cfRule>
    <cfRule type="cellIs" dxfId="71" priority="32" operator="greaterThan">
      <formula>0.2</formula>
    </cfRule>
  </conditionalFormatting>
  <conditionalFormatting sqref="V39:V45">
    <cfRule type="cellIs" dxfId="70" priority="2" operator="between">
      <formula>0.48</formula>
      <formula>0.6</formula>
    </cfRule>
    <cfRule type="cellIs" dxfId="69" priority="1" operator="greaterThan">
      <formula>0.7</formula>
    </cfRule>
  </conditionalFormatting>
  <conditionalFormatting sqref="Y33:Y2008 AA33:AA2008">
    <cfRule type="cellIs" dxfId="68" priority="30" operator="greaterThan">
      <formula>2</formula>
    </cfRule>
    <cfRule type="cellIs" dxfId="67" priority="31" operator="between">
      <formula>1.6</formula>
      <formula>2</formula>
    </cfRule>
  </conditionalFormatting>
  <conditionalFormatting sqref="Z33:Z2008 AH33:AH2008">
    <cfRule type="cellIs" dxfId="66" priority="28" operator="greaterThan">
      <formula>15</formula>
    </cfRule>
    <cfRule type="cellIs" dxfId="65" priority="29" operator="between">
      <formula>12</formula>
      <formula>15</formula>
    </cfRule>
  </conditionalFormatting>
  <conditionalFormatting sqref="AB33:AB2008">
    <cfRule type="cellIs" dxfId="64" priority="25" operator="between">
      <formula>24</formula>
      <formula>30</formula>
    </cfRule>
    <cfRule type="cellIs" dxfId="63" priority="24" operator="greaterThan">
      <formula>30</formula>
    </cfRule>
  </conditionalFormatting>
  <conditionalFormatting sqref="AC33:AE2008">
    <cfRule type="cellIs" dxfId="62" priority="3" operator="greaterThan">
      <formula>50</formula>
    </cfRule>
    <cfRule type="cellIs" dxfId="61" priority="4" operator="between">
      <formula>40</formula>
      <formula>50</formula>
    </cfRule>
  </conditionalFormatting>
  <conditionalFormatting sqref="AF33:AG2008">
    <cfRule type="cellIs" dxfId="60" priority="22" operator="greaterThan">
      <formula>9.5</formula>
    </cfRule>
  </conditionalFormatting>
  <conditionalFormatting sqref="AI33:AI2008">
    <cfRule type="cellIs" dxfId="59" priority="19" operator="between">
      <formula>0.48</formula>
      <formula>0.6</formula>
    </cfRule>
    <cfRule type="cellIs" dxfId="58" priority="18" operator="greaterThan">
      <formula>0.6</formula>
    </cfRule>
  </conditionalFormatting>
  <conditionalFormatting sqref="AJ33:AJ2008">
    <cfRule type="cellIs" dxfId="57" priority="17" operator="between">
      <formula>16</formula>
      <formula>20</formula>
    </cfRule>
    <cfRule type="cellIs" dxfId="56" priority="16" operator="greaterThan">
      <formula>20</formula>
    </cfRule>
  </conditionalFormatting>
  <conditionalFormatting sqref="AK33:AK2008">
    <cfRule type="cellIs" dxfId="55" priority="15" operator="between">
      <formula>960</formula>
      <formula>1200</formula>
    </cfRule>
    <cfRule type="cellIs" dxfId="54" priority="14" operator="greaterThan">
      <formula>1200</formula>
    </cfRule>
  </conditionalFormatting>
  <conditionalFormatting sqref="AL33:AL2008">
    <cfRule type="cellIs" dxfId="53" priority="13" operator="between">
      <formula>800</formula>
      <formula>1000</formula>
    </cfRule>
    <cfRule type="cellIs" dxfId="52" priority="7" operator="greaterThan">
      <formula>1000</formula>
    </cfRule>
  </conditionalFormatting>
  <conditionalFormatting sqref="AM33:AM2008">
    <cfRule type="cellIs" dxfId="51" priority="11" operator="between">
      <formula>0.8</formula>
      <formula>1</formula>
    </cfRule>
    <cfRule type="cellIs" dxfId="50" priority="10" operator="greaterThan">
      <formula>1</formula>
    </cfRule>
  </conditionalFormatting>
  <pageMargins left="0.25" right="0.25" top="0.75" bottom="0.75" header="0.3" footer="0.3"/>
  <pageSetup paperSize="8" scale="37" fitToHeight="0"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59999389629810485"/>
    <pageSetUpPr fitToPage="1"/>
  </sheetPr>
  <dimension ref="A1:AO24"/>
  <sheetViews>
    <sheetView zoomScale="70" zoomScaleNormal="70" workbookViewId="0">
      <pane xSplit="5" ySplit="7" topLeftCell="F9" activePane="bottomRight" state="frozen"/>
      <selection pane="topRight" activeCell="E1" sqref="E1"/>
      <selection pane="bottomLeft" activeCell="A8" sqref="A8"/>
      <selection pane="bottomRight" activeCell="C3" sqref="C3:AO3"/>
    </sheetView>
  </sheetViews>
  <sheetFormatPr defaultRowHeight="15"/>
  <cols>
    <col min="1" max="1" width="21.7109375" customWidth="1"/>
    <col min="2" max="2" width="13.7109375" customWidth="1"/>
    <col min="3" max="3" width="20.7109375" customWidth="1"/>
    <col min="4" max="5" width="15.7109375" customWidth="1"/>
    <col min="6" max="39" width="12.7109375" customWidth="1"/>
    <col min="40" max="40" width="10.7109375" customWidth="1"/>
    <col min="41" max="41" width="20.7109375" customWidth="1"/>
  </cols>
  <sheetData>
    <row r="1" spans="1:41" s="1" customFormat="1" ht="18.75" customHeight="1">
      <c r="A1" s="165" t="s">
        <v>231</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row>
    <row r="2" spans="1:41" s="18" customFormat="1" ht="18.75" customHeight="1">
      <c r="A2" s="143" t="s">
        <v>242</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row>
    <row r="3" spans="1:41" s="18" customFormat="1" ht="18.75" customHeight="1">
      <c r="A3" s="10" t="s">
        <v>240</v>
      </c>
      <c r="B3" s="10"/>
      <c r="C3" s="143" t="s">
        <v>655</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row>
    <row r="4" spans="1:41" s="18" customFormat="1" ht="18.75" customHeight="1">
      <c r="A4" s="162" t="s">
        <v>235</v>
      </c>
      <c r="B4" s="162" t="s">
        <v>446</v>
      </c>
      <c r="C4" s="162" t="s">
        <v>97</v>
      </c>
      <c r="D4" s="162" t="s">
        <v>171</v>
      </c>
      <c r="E4" s="162" t="s">
        <v>172</v>
      </c>
      <c r="F4" s="172" t="s">
        <v>236</v>
      </c>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4"/>
      <c r="AN4" s="162" t="s">
        <v>151</v>
      </c>
      <c r="AO4" s="162" t="s">
        <v>8</v>
      </c>
    </row>
    <row r="5" spans="1:41" s="18" customFormat="1" ht="56.25" customHeight="1">
      <c r="A5" s="163"/>
      <c r="B5" s="163"/>
      <c r="C5" s="163"/>
      <c r="D5" s="163"/>
      <c r="E5" s="163"/>
      <c r="F5" s="11" t="s">
        <v>133</v>
      </c>
      <c r="G5" s="11" t="s">
        <v>133</v>
      </c>
      <c r="H5" s="11" t="s">
        <v>133</v>
      </c>
      <c r="I5" s="11" t="s">
        <v>133</v>
      </c>
      <c r="J5" s="14" t="s">
        <v>246</v>
      </c>
      <c r="K5" s="11" t="s">
        <v>133</v>
      </c>
      <c r="L5" s="11" t="s">
        <v>133</v>
      </c>
      <c r="M5" s="11" t="s">
        <v>133</v>
      </c>
      <c r="N5" s="11" t="s">
        <v>133</v>
      </c>
      <c r="O5" s="11" t="s">
        <v>133</v>
      </c>
      <c r="P5" s="54"/>
      <c r="Q5" s="54"/>
      <c r="R5" s="54"/>
      <c r="S5" s="54"/>
      <c r="T5" s="14" t="s">
        <v>246</v>
      </c>
      <c r="U5" s="11" t="s">
        <v>133</v>
      </c>
      <c r="V5" s="11" t="s">
        <v>133</v>
      </c>
      <c r="W5" s="11" t="s">
        <v>133</v>
      </c>
      <c r="X5" s="54"/>
      <c r="Y5" s="54"/>
      <c r="Z5" s="11" t="s">
        <v>605</v>
      </c>
      <c r="AA5" s="11" t="s">
        <v>133</v>
      </c>
      <c r="AB5" s="11" t="s">
        <v>133</v>
      </c>
      <c r="AC5" s="28" t="s">
        <v>16</v>
      </c>
      <c r="AD5" s="28" t="s">
        <v>16</v>
      </c>
      <c r="AE5" s="28" t="s">
        <v>16</v>
      </c>
      <c r="AF5" s="167" t="s">
        <v>133</v>
      </c>
      <c r="AG5" s="178"/>
      <c r="AH5" s="11" t="s">
        <v>133</v>
      </c>
      <c r="AI5" s="11" t="s">
        <v>133</v>
      </c>
      <c r="AJ5" s="11" t="s">
        <v>133</v>
      </c>
      <c r="AK5" s="14" t="s">
        <v>246</v>
      </c>
      <c r="AL5" s="14" t="s">
        <v>246</v>
      </c>
      <c r="AM5" s="14" t="s">
        <v>246</v>
      </c>
      <c r="AN5" s="163"/>
      <c r="AO5" s="163"/>
    </row>
    <row r="6" spans="1:41" ht="45">
      <c r="A6" s="163"/>
      <c r="B6" s="163"/>
      <c r="C6" s="163"/>
      <c r="D6" s="163"/>
      <c r="E6" s="163"/>
      <c r="F6" s="11" t="s">
        <v>818</v>
      </c>
      <c r="G6" s="11" t="s">
        <v>794</v>
      </c>
      <c r="H6" s="11" t="s">
        <v>780</v>
      </c>
      <c r="I6" s="11" t="s">
        <v>245</v>
      </c>
      <c r="J6" s="14" t="s">
        <v>795</v>
      </c>
      <c r="K6" s="11" t="s">
        <v>796</v>
      </c>
      <c r="L6" s="11" t="s">
        <v>797</v>
      </c>
      <c r="M6" s="11" t="s">
        <v>798</v>
      </c>
      <c r="N6" s="11" t="s">
        <v>799</v>
      </c>
      <c r="O6" s="11" t="s">
        <v>800</v>
      </c>
      <c r="P6" s="54" t="s">
        <v>801</v>
      </c>
      <c r="Q6" s="54" t="s">
        <v>802</v>
      </c>
      <c r="R6" s="54" t="s">
        <v>803</v>
      </c>
      <c r="S6" s="54" t="s">
        <v>804</v>
      </c>
      <c r="T6" s="14" t="s">
        <v>805</v>
      </c>
      <c r="U6" s="11" t="s">
        <v>806</v>
      </c>
      <c r="V6" s="11" t="s">
        <v>784</v>
      </c>
      <c r="W6" s="11" t="s">
        <v>819</v>
      </c>
      <c r="X6" s="54" t="s">
        <v>808</v>
      </c>
      <c r="Y6" s="54" t="s">
        <v>812</v>
      </c>
      <c r="Z6" s="11" t="s">
        <v>813</v>
      </c>
      <c r="AA6" s="11" t="s">
        <v>814</v>
      </c>
      <c r="AB6" s="11" t="s">
        <v>809</v>
      </c>
      <c r="AC6" s="28" t="s">
        <v>247</v>
      </c>
      <c r="AD6" s="28" t="s">
        <v>248</v>
      </c>
      <c r="AE6" s="28" t="s">
        <v>249</v>
      </c>
      <c r="AF6" s="167" t="s">
        <v>250</v>
      </c>
      <c r="AG6" s="178"/>
      <c r="AH6" s="11" t="s">
        <v>781</v>
      </c>
      <c r="AI6" s="11" t="s">
        <v>810</v>
      </c>
      <c r="AJ6" s="11" t="s">
        <v>811</v>
      </c>
      <c r="AK6" s="14" t="s">
        <v>815</v>
      </c>
      <c r="AL6" s="14" t="s">
        <v>816</v>
      </c>
      <c r="AM6" s="14" t="s">
        <v>817</v>
      </c>
      <c r="AN6" s="164"/>
      <c r="AO6" s="164"/>
    </row>
    <row r="7" spans="1:41" s="52" customFormat="1" ht="38.25">
      <c r="A7" s="164"/>
      <c r="B7" s="164"/>
      <c r="C7" s="175" t="s">
        <v>660</v>
      </c>
      <c r="D7" s="176"/>
      <c r="E7" s="177"/>
      <c r="F7" s="48">
        <v>0.4</v>
      </c>
      <c r="G7" s="48">
        <v>250</v>
      </c>
      <c r="H7" s="48">
        <v>900</v>
      </c>
      <c r="I7" s="48" t="s">
        <v>454</v>
      </c>
      <c r="J7" s="49">
        <v>7</v>
      </c>
      <c r="K7" s="48">
        <v>0.1</v>
      </c>
      <c r="L7" s="48">
        <v>0.4</v>
      </c>
      <c r="M7" s="48">
        <v>0.1</v>
      </c>
      <c r="N7" s="48">
        <v>0.5</v>
      </c>
      <c r="O7" s="48">
        <v>0.1</v>
      </c>
      <c r="P7" s="56">
        <v>4</v>
      </c>
      <c r="Q7" s="56">
        <v>0.02</v>
      </c>
      <c r="R7" s="56">
        <v>4</v>
      </c>
      <c r="S7" s="56">
        <v>0.3</v>
      </c>
      <c r="T7" s="49" t="s">
        <v>465</v>
      </c>
      <c r="U7" s="48"/>
      <c r="V7" s="179">
        <v>80</v>
      </c>
      <c r="W7" s="180"/>
      <c r="X7" s="55"/>
      <c r="Y7" s="55">
        <v>80</v>
      </c>
      <c r="Z7" s="48">
        <v>54</v>
      </c>
      <c r="AA7" s="48">
        <v>10</v>
      </c>
      <c r="AB7" s="48">
        <v>200</v>
      </c>
      <c r="AC7" s="50">
        <v>50</v>
      </c>
      <c r="AD7" s="50">
        <v>50</v>
      </c>
      <c r="AE7" s="50">
        <v>50</v>
      </c>
      <c r="AF7" s="48" t="s">
        <v>623</v>
      </c>
      <c r="AG7" s="48" t="s">
        <v>623</v>
      </c>
      <c r="AH7" s="48">
        <v>30</v>
      </c>
      <c r="AI7" s="48">
        <v>0.6</v>
      </c>
      <c r="AJ7" s="48">
        <v>30</v>
      </c>
      <c r="AK7" s="49">
        <v>1200</v>
      </c>
      <c r="AL7" s="49">
        <v>1000</v>
      </c>
      <c r="AM7" s="49">
        <v>1</v>
      </c>
      <c r="AN7" s="51"/>
      <c r="AO7" s="51"/>
    </row>
    <row r="8" spans="1:41" ht="30" customHeight="1">
      <c r="A8" s="3" t="s">
        <v>593</v>
      </c>
      <c r="B8" s="70" t="s">
        <v>448</v>
      </c>
      <c r="C8" s="3" t="s">
        <v>155</v>
      </c>
      <c r="D8" s="33">
        <v>44622</v>
      </c>
      <c r="E8" s="3" t="s">
        <v>594</v>
      </c>
      <c r="F8" s="3"/>
      <c r="G8" s="3"/>
      <c r="H8" s="3">
        <v>63</v>
      </c>
      <c r="I8" s="3" t="s">
        <v>595</v>
      </c>
      <c r="J8" s="3"/>
      <c r="K8" s="3">
        <v>6.0999999999999999E-2</v>
      </c>
      <c r="L8" s="3">
        <v>0.01</v>
      </c>
      <c r="M8" s="3">
        <v>0.01</v>
      </c>
      <c r="N8" s="46">
        <v>6.0999999999999999E-2</v>
      </c>
      <c r="O8" s="3">
        <v>0.03</v>
      </c>
      <c r="P8" s="3">
        <v>0.107</v>
      </c>
      <c r="Q8" s="3">
        <v>0.02</v>
      </c>
      <c r="R8" s="3">
        <v>3.6999999999999998E-2</v>
      </c>
      <c r="S8" s="3">
        <v>0.02</v>
      </c>
      <c r="T8" s="3"/>
      <c r="U8" s="3"/>
      <c r="V8" s="3">
        <v>0.12</v>
      </c>
      <c r="W8" s="3">
        <v>2.13</v>
      </c>
      <c r="X8" s="46">
        <v>0.2</v>
      </c>
      <c r="Y8" s="3">
        <v>2.25</v>
      </c>
      <c r="Z8" s="3">
        <v>11.4</v>
      </c>
      <c r="AA8" s="3">
        <v>0.82</v>
      </c>
      <c r="AB8" s="3">
        <v>2</v>
      </c>
      <c r="AC8" s="3"/>
      <c r="AD8" s="3"/>
      <c r="AE8" s="3"/>
      <c r="AF8" s="3"/>
      <c r="AG8" s="3">
        <v>7.48</v>
      </c>
      <c r="AH8" s="3"/>
      <c r="AI8" s="3"/>
      <c r="AJ8" s="3"/>
      <c r="AK8" s="3"/>
      <c r="AL8" s="3"/>
      <c r="AM8" s="3"/>
      <c r="AN8" s="3" t="s">
        <v>118</v>
      </c>
      <c r="AO8" s="3" t="s">
        <v>237</v>
      </c>
    </row>
    <row r="9" spans="1:41" ht="30" customHeight="1">
      <c r="A9" s="3" t="s">
        <v>593</v>
      </c>
      <c r="B9" s="70" t="s">
        <v>448</v>
      </c>
      <c r="C9" s="3" t="s">
        <v>155</v>
      </c>
      <c r="D9" s="33">
        <v>44706</v>
      </c>
      <c r="E9" s="3" t="s">
        <v>628</v>
      </c>
      <c r="F9" s="3"/>
      <c r="G9" s="3"/>
      <c r="H9" s="3">
        <v>61</v>
      </c>
      <c r="I9" s="3" t="s">
        <v>595</v>
      </c>
      <c r="J9" s="3"/>
      <c r="K9" s="3">
        <v>6.0999999999999999E-2</v>
      </c>
      <c r="L9" s="3">
        <v>0.01</v>
      </c>
      <c r="M9" s="3">
        <v>0.01</v>
      </c>
      <c r="N9" s="66">
        <v>3.7999999999999999E-2</v>
      </c>
      <c r="O9" s="3">
        <v>0.03</v>
      </c>
      <c r="P9" s="3">
        <v>0.1</v>
      </c>
      <c r="Q9" s="3">
        <v>0.02</v>
      </c>
      <c r="R9" s="3">
        <v>3.7999999999999999E-2</v>
      </c>
      <c r="S9" s="3">
        <v>0.02</v>
      </c>
      <c r="T9" s="3"/>
      <c r="U9" s="3"/>
      <c r="V9" s="3">
        <v>0.19</v>
      </c>
      <c r="W9" s="3">
        <v>1.61</v>
      </c>
      <c r="X9" s="46">
        <v>0.2</v>
      </c>
      <c r="Y9" s="3">
        <v>1.8</v>
      </c>
      <c r="Z9" s="3">
        <v>11.9</v>
      </c>
      <c r="AA9" s="3">
        <v>0.64</v>
      </c>
      <c r="AB9" s="3">
        <v>4</v>
      </c>
      <c r="AC9" s="3"/>
      <c r="AD9" s="3"/>
      <c r="AE9" s="3"/>
      <c r="AF9" s="3"/>
      <c r="AG9" s="3">
        <v>7.78</v>
      </c>
      <c r="AH9" s="3"/>
      <c r="AI9" s="3"/>
      <c r="AJ9" s="3"/>
      <c r="AK9" s="3"/>
      <c r="AL9" s="3"/>
      <c r="AM9" s="3"/>
      <c r="AN9" s="3" t="s">
        <v>118</v>
      </c>
      <c r="AO9" s="3" t="s">
        <v>237</v>
      </c>
    </row>
    <row r="10" spans="1:41" ht="30" customHeight="1">
      <c r="A10" s="3" t="s">
        <v>593</v>
      </c>
      <c r="B10" s="70" t="s">
        <v>448</v>
      </c>
      <c r="C10" s="3" t="s">
        <v>155</v>
      </c>
      <c r="D10" s="33">
        <v>44819</v>
      </c>
      <c r="E10" s="3" t="s">
        <v>631</v>
      </c>
      <c r="F10" s="3"/>
      <c r="G10" s="3"/>
      <c r="H10" s="3">
        <v>58</v>
      </c>
      <c r="I10" s="3" t="s">
        <v>595</v>
      </c>
      <c r="J10" s="3"/>
      <c r="K10" s="3">
        <v>6.2E-2</v>
      </c>
      <c r="L10" s="3">
        <v>0.01</v>
      </c>
      <c r="M10" s="3">
        <v>2.1999999999999999E-2</v>
      </c>
      <c r="N10" s="66">
        <v>5.7000000000000002E-2</v>
      </c>
      <c r="O10" s="3">
        <v>0.03</v>
      </c>
      <c r="P10" s="3">
        <v>0.46</v>
      </c>
      <c r="Q10" s="3">
        <v>0.02</v>
      </c>
      <c r="R10" s="3">
        <v>4.4999999999999998E-2</v>
      </c>
      <c r="S10" s="3">
        <v>0.02</v>
      </c>
      <c r="T10" s="3"/>
      <c r="U10" s="3"/>
      <c r="V10" s="3" t="s">
        <v>455</v>
      </c>
      <c r="W10" s="3">
        <v>0.99</v>
      </c>
      <c r="X10" s="46">
        <v>0.2</v>
      </c>
      <c r="Y10" s="3">
        <v>0.99</v>
      </c>
      <c r="Z10" s="3">
        <v>14.1</v>
      </c>
      <c r="AA10" s="3">
        <v>0.7</v>
      </c>
      <c r="AB10" s="3">
        <v>3</v>
      </c>
      <c r="AC10" s="3"/>
      <c r="AD10" s="3"/>
      <c r="AE10" s="3"/>
      <c r="AF10" s="3"/>
      <c r="AG10" s="3">
        <v>7.25</v>
      </c>
      <c r="AH10" s="3"/>
      <c r="AI10" s="3"/>
      <c r="AJ10" s="3"/>
      <c r="AK10" s="3"/>
      <c r="AL10" s="3"/>
      <c r="AM10" s="3"/>
      <c r="AN10" s="3" t="s">
        <v>118</v>
      </c>
      <c r="AO10" s="3" t="s">
        <v>237</v>
      </c>
    </row>
    <row r="11" spans="1:41" ht="30" customHeight="1" thickBot="1">
      <c r="A11" s="5" t="s">
        <v>593</v>
      </c>
      <c r="B11" s="93" t="s">
        <v>448</v>
      </c>
      <c r="C11" s="5" t="s">
        <v>155</v>
      </c>
      <c r="D11" s="37">
        <v>44925</v>
      </c>
      <c r="E11" s="5" t="s">
        <v>634</v>
      </c>
      <c r="F11" s="5"/>
      <c r="G11" s="5"/>
      <c r="H11" s="5">
        <v>41</v>
      </c>
      <c r="I11" s="5" t="s">
        <v>595</v>
      </c>
      <c r="J11" s="5"/>
      <c r="K11" s="5">
        <v>4.7E-2</v>
      </c>
      <c r="L11" s="5">
        <v>0.01</v>
      </c>
      <c r="M11" s="5">
        <v>0.01</v>
      </c>
      <c r="N11" s="91">
        <v>0.04</v>
      </c>
      <c r="O11" s="5">
        <v>0.03</v>
      </c>
      <c r="P11" s="5">
        <v>0.108</v>
      </c>
      <c r="Q11" s="5">
        <v>0.02</v>
      </c>
      <c r="R11" s="5">
        <v>3.5999999999999997E-2</v>
      </c>
      <c r="S11" s="5">
        <v>0.02</v>
      </c>
      <c r="T11" s="5"/>
      <c r="U11" s="5"/>
      <c r="V11" s="5">
        <v>0.17</v>
      </c>
      <c r="W11" s="5">
        <v>0.46</v>
      </c>
      <c r="X11" s="91">
        <v>0.2</v>
      </c>
      <c r="Y11" s="5">
        <v>0.63</v>
      </c>
      <c r="Z11" s="5">
        <v>10.3</v>
      </c>
      <c r="AA11" s="5">
        <v>0.51</v>
      </c>
      <c r="AB11" s="5">
        <v>1</v>
      </c>
      <c r="AC11" s="5"/>
      <c r="AD11" s="5"/>
      <c r="AE11" s="5"/>
      <c r="AF11" s="5"/>
      <c r="AG11" s="5">
        <v>7.29</v>
      </c>
      <c r="AH11" s="5"/>
      <c r="AI11" s="5"/>
      <c r="AJ11" s="5"/>
      <c r="AK11" s="5"/>
      <c r="AL11" s="5"/>
      <c r="AM11" s="5"/>
      <c r="AN11" s="5" t="s">
        <v>118</v>
      </c>
      <c r="AO11" s="5" t="s">
        <v>237</v>
      </c>
    </row>
    <row r="12" spans="1:41" ht="30" customHeight="1" thickTop="1">
      <c r="A12" s="38" t="s">
        <v>639</v>
      </c>
      <c r="B12" s="92" t="s">
        <v>448</v>
      </c>
      <c r="C12" s="38" t="s">
        <v>155</v>
      </c>
      <c r="D12" s="39">
        <v>44979</v>
      </c>
      <c r="E12" s="38" t="s">
        <v>638</v>
      </c>
      <c r="F12" s="38"/>
      <c r="G12" s="38"/>
      <c r="H12" s="38">
        <v>66</v>
      </c>
      <c r="I12" s="38" t="s">
        <v>595</v>
      </c>
      <c r="J12" s="38"/>
      <c r="K12" s="38">
        <v>6.3E-2</v>
      </c>
      <c r="L12" s="38">
        <v>0.01</v>
      </c>
      <c r="M12" s="38">
        <v>0.01</v>
      </c>
      <c r="N12" s="94">
        <v>4.2000000000000003E-2</v>
      </c>
      <c r="O12" s="38">
        <v>0.03</v>
      </c>
      <c r="P12" s="38">
        <v>0.18</v>
      </c>
      <c r="Q12" s="38">
        <v>0.02</v>
      </c>
      <c r="R12" s="38">
        <v>3.7999999999999999E-2</v>
      </c>
      <c r="S12" s="38">
        <v>0.02</v>
      </c>
      <c r="T12" s="38"/>
      <c r="U12" s="38"/>
      <c r="V12" s="38">
        <v>0.35</v>
      </c>
      <c r="W12" s="38">
        <v>0.84</v>
      </c>
      <c r="X12" s="90">
        <v>0.2</v>
      </c>
      <c r="Y12" s="38">
        <v>1.19</v>
      </c>
      <c r="Z12" s="38">
        <v>12.3</v>
      </c>
      <c r="AA12" s="38">
        <v>1.1499999999999999</v>
      </c>
      <c r="AB12" s="38">
        <v>8</v>
      </c>
      <c r="AC12" s="38"/>
      <c r="AD12" s="38"/>
      <c r="AE12" s="38"/>
      <c r="AF12" s="38"/>
      <c r="AG12" s="38">
        <v>7.35</v>
      </c>
      <c r="AH12" s="38"/>
      <c r="AI12" s="38"/>
      <c r="AJ12" s="38"/>
      <c r="AK12" s="38"/>
      <c r="AL12" s="38"/>
      <c r="AM12" s="38"/>
      <c r="AN12" s="38" t="s">
        <v>118</v>
      </c>
      <c r="AO12" s="38" t="s">
        <v>237</v>
      </c>
    </row>
    <row r="13" spans="1:41" ht="30" customHeight="1">
      <c r="A13" s="3" t="s">
        <v>593</v>
      </c>
      <c r="B13" s="70" t="s">
        <v>448</v>
      </c>
      <c r="C13" s="3" t="s">
        <v>155</v>
      </c>
      <c r="D13" s="33">
        <v>45097</v>
      </c>
      <c r="E13" s="3" t="s">
        <v>643</v>
      </c>
      <c r="F13" s="3"/>
      <c r="G13" s="3"/>
      <c r="H13" s="3">
        <v>66</v>
      </c>
      <c r="I13" s="3" t="s">
        <v>595</v>
      </c>
      <c r="J13" s="3"/>
      <c r="K13" s="3">
        <v>4.4999999999999998E-2</v>
      </c>
      <c r="L13" s="3">
        <v>0.01</v>
      </c>
      <c r="M13" s="3">
        <v>0.01</v>
      </c>
      <c r="N13" s="46">
        <v>5.7000000000000002E-2</v>
      </c>
      <c r="O13" s="3">
        <v>0.03</v>
      </c>
      <c r="P13" s="3">
        <v>0.15</v>
      </c>
      <c r="Q13" s="3">
        <v>0.01</v>
      </c>
      <c r="R13" s="3">
        <v>4.3999999999999997E-2</v>
      </c>
      <c r="S13" s="3">
        <v>0.02</v>
      </c>
      <c r="T13" s="3"/>
      <c r="U13" s="3"/>
      <c r="V13" s="3">
        <v>0.26</v>
      </c>
      <c r="W13" s="3">
        <v>1.53</v>
      </c>
      <c r="X13" s="46">
        <v>0.2</v>
      </c>
      <c r="Y13" s="3">
        <v>1.79</v>
      </c>
      <c r="Z13" s="3">
        <v>10.6</v>
      </c>
      <c r="AA13" s="3">
        <v>0.7</v>
      </c>
      <c r="AB13" s="3">
        <v>12</v>
      </c>
      <c r="AC13" s="3"/>
      <c r="AD13" s="3"/>
      <c r="AE13" s="3"/>
      <c r="AF13" s="3"/>
      <c r="AG13" s="3">
        <v>7.66</v>
      </c>
      <c r="AH13" s="3"/>
      <c r="AI13" s="3"/>
      <c r="AJ13" s="3"/>
      <c r="AK13" s="3"/>
      <c r="AL13" s="3"/>
      <c r="AM13" s="3"/>
      <c r="AN13" s="3" t="s">
        <v>118</v>
      </c>
      <c r="AO13" s="3" t="s">
        <v>237</v>
      </c>
    </row>
    <row r="14" spans="1:41" ht="30" customHeight="1">
      <c r="A14" s="3" t="s">
        <v>593</v>
      </c>
      <c r="B14" s="70" t="s">
        <v>448</v>
      </c>
      <c r="C14" s="3" t="s">
        <v>155</v>
      </c>
      <c r="D14" s="33">
        <v>45196</v>
      </c>
      <c r="E14" s="3" t="s">
        <v>647</v>
      </c>
      <c r="F14" s="3"/>
      <c r="G14" s="3"/>
      <c r="H14" s="3">
        <v>80</v>
      </c>
      <c r="I14" s="3" t="s">
        <v>595</v>
      </c>
      <c r="J14" s="3"/>
      <c r="K14" s="3">
        <v>0.04</v>
      </c>
      <c r="L14" s="3">
        <v>0.01</v>
      </c>
      <c r="M14" s="3">
        <v>1.6E-2</v>
      </c>
      <c r="N14" s="46">
        <v>0.05</v>
      </c>
      <c r="O14" s="3">
        <v>0.03</v>
      </c>
      <c r="P14" s="3">
        <v>0.34</v>
      </c>
      <c r="Q14" s="3">
        <v>0.02</v>
      </c>
      <c r="R14" s="3">
        <v>0.04</v>
      </c>
      <c r="S14" s="3">
        <v>0.02</v>
      </c>
      <c r="T14" s="3"/>
      <c r="U14" s="3"/>
      <c r="V14" s="3">
        <v>0.19</v>
      </c>
      <c r="W14" s="3">
        <v>0.78</v>
      </c>
      <c r="X14" s="46">
        <v>0.2</v>
      </c>
      <c r="Y14" s="3">
        <v>0.97</v>
      </c>
      <c r="Z14" s="3">
        <v>10.1</v>
      </c>
      <c r="AA14" s="3">
        <v>0.62</v>
      </c>
      <c r="AB14" s="3">
        <v>6</v>
      </c>
      <c r="AC14" s="3"/>
      <c r="AD14" s="3"/>
      <c r="AE14" s="3"/>
      <c r="AF14" s="3"/>
      <c r="AG14" s="3">
        <v>7.35</v>
      </c>
      <c r="AH14" s="3"/>
      <c r="AI14" s="3"/>
      <c r="AJ14" s="3"/>
      <c r="AK14" s="3"/>
      <c r="AL14" s="3"/>
      <c r="AM14" s="3"/>
      <c r="AN14" s="3" t="s">
        <v>118</v>
      </c>
      <c r="AO14" s="3" t="s">
        <v>237</v>
      </c>
    </row>
    <row r="15" spans="1:41" ht="30" customHeight="1" thickBot="1">
      <c r="A15" s="5" t="s">
        <v>593</v>
      </c>
      <c r="B15" s="93" t="s">
        <v>448</v>
      </c>
      <c r="C15" s="5" t="s">
        <v>155</v>
      </c>
      <c r="D15" s="37">
        <v>45251</v>
      </c>
      <c r="E15" s="5" t="s">
        <v>649</v>
      </c>
      <c r="F15" s="5"/>
      <c r="G15" s="5"/>
      <c r="H15" s="5">
        <v>130</v>
      </c>
      <c r="I15" s="5" t="s">
        <v>595</v>
      </c>
      <c r="J15" s="5"/>
      <c r="K15" s="5">
        <v>4.3999999999999997E-2</v>
      </c>
      <c r="L15" s="5">
        <v>0.15</v>
      </c>
      <c r="M15" s="5">
        <v>0.01</v>
      </c>
      <c r="N15" s="91">
        <v>0.20300000000000001</v>
      </c>
      <c r="O15" s="5">
        <v>0.03</v>
      </c>
      <c r="P15" s="5">
        <v>0.47399999999999998</v>
      </c>
      <c r="Q15" s="5">
        <v>0.02</v>
      </c>
      <c r="R15" s="5">
        <v>3.5999999999999997E-2</v>
      </c>
      <c r="S15" s="5">
        <v>0.02</v>
      </c>
      <c r="T15" s="5"/>
      <c r="U15" s="5"/>
      <c r="V15" s="5">
        <v>0.32</v>
      </c>
      <c r="W15" s="5">
        <v>0.94</v>
      </c>
      <c r="X15" s="91">
        <v>0.2</v>
      </c>
      <c r="Y15" s="5">
        <v>1.26</v>
      </c>
      <c r="Z15" s="5">
        <v>13.9</v>
      </c>
      <c r="AA15" s="5">
        <v>4.87</v>
      </c>
      <c r="AB15" s="5">
        <v>26</v>
      </c>
      <c r="AC15" s="5"/>
      <c r="AD15" s="5"/>
      <c r="AE15" s="5"/>
      <c r="AF15" s="5"/>
      <c r="AG15" s="5">
        <v>7.69</v>
      </c>
      <c r="AH15" s="5"/>
      <c r="AI15" s="5"/>
      <c r="AJ15" s="5"/>
      <c r="AK15" s="5"/>
      <c r="AL15" s="5"/>
      <c r="AM15" s="5"/>
      <c r="AN15" s="5" t="s">
        <v>118</v>
      </c>
      <c r="AO15" s="5" t="s">
        <v>237</v>
      </c>
    </row>
    <row r="16" spans="1:41" ht="30.75" thickTop="1">
      <c r="A16" s="38" t="s">
        <v>449</v>
      </c>
      <c r="B16" s="92" t="s">
        <v>448</v>
      </c>
      <c r="C16" s="38" t="s">
        <v>155</v>
      </c>
      <c r="D16" s="39">
        <v>45302</v>
      </c>
      <c r="E16" s="38" t="s">
        <v>650</v>
      </c>
      <c r="F16" s="38"/>
      <c r="G16" s="38"/>
      <c r="H16" s="38">
        <v>152</v>
      </c>
      <c r="I16" s="38" t="s">
        <v>595</v>
      </c>
      <c r="J16" s="38"/>
      <c r="K16" s="38">
        <v>0.09</v>
      </c>
      <c r="L16" s="38">
        <v>0.01</v>
      </c>
      <c r="M16" s="38">
        <v>0.01</v>
      </c>
      <c r="N16" s="90">
        <v>7.2999999999999995E-2</v>
      </c>
      <c r="O16" s="38">
        <v>0.03</v>
      </c>
      <c r="P16" s="38">
        <v>0.26</v>
      </c>
      <c r="Q16" s="38">
        <v>0.02</v>
      </c>
      <c r="R16" s="38">
        <v>6.7000000000000004E-2</v>
      </c>
      <c r="S16" s="38">
        <v>0.02</v>
      </c>
      <c r="T16" s="38"/>
      <c r="U16" s="38"/>
      <c r="V16" s="38">
        <v>0.46</v>
      </c>
      <c r="W16" s="38">
        <v>14.5</v>
      </c>
      <c r="X16" s="38">
        <v>0.7</v>
      </c>
      <c r="Y16" s="38">
        <v>15.66</v>
      </c>
      <c r="Z16" s="38">
        <v>10.199999999999999</v>
      </c>
      <c r="AA16" s="38">
        <v>0.87</v>
      </c>
      <c r="AB16" s="38">
        <v>14</v>
      </c>
      <c r="AC16" s="38"/>
      <c r="AD16" s="38"/>
      <c r="AE16" s="38"/>
      <c r="AF16" s="38"/>
      <c r="AG16" s="38">
        <v>7.35</v>
      </c>
      <c r="AH16" s="38"/>
      <c r="AI16" s="38"/>
      <c r="AJ16" s="38"/>
      <c r="AK16" s="38"/>
      <c r="AL16" s="38"/>
      <c r="AM16" s="38"/>
      <c r="AN16" s="38" t="s">
        <v>118</v>
      </c>
      <c r="AO16" s="38" t="s">
        <v>237</v>
      </c>
    </row>
    <row r="17" spans="1:41" ht="30" customHeight="1">
      <c r="A17" s="3" t="s">
        <v>593</v>
      </c>
      <c r="B17" s="70" t="s">
        <v>448</v>
      </c>
      <c r="C17" s="3" t="s">
        <v>155</v>
      </c>
      <c r="D17" s="33">
        <v>45434</v>
      </c>
      <c r="E17" s="3" t="s">
        <v>656</v>
      </c>
      <c r="F17" s="3"/>
      <c r="G17" s="3"/>
      <c r="H17" s="3">
        <v>44</v>
      </c>
      <c r="I17" s="3" t="s">
        <v>595</v>
      </c>
      <c r="J17" s="3"/>
      <c r="K17" s="3">
        <v>5.1999999999999998E-2</v>
      </c>
      <c r="L17" s="3">
        <v>0.01</v>
      </c>
      <c r="M17" s="3">
        <v>0.01</v>
      </c>
      <c r="N17" s="46">
        <v>6.2E-2</v>
      </c>
      <c r="O17" s="3">
        <v>0.03</v>
      </c>
      <c r="P17" s="3">
        <v>9.5000000000000001E-2</v>
      </c>
      <c r="Q17" s="3">
        <v>0.01</v>
      </c>
      <c r="R17" s="3">
        <v>2.9000000000000001E-2</v>
      </c>
      <c r="S17" s="3">
        <v>0.02</v>
      </c>
      <c r="T17" s="3"/>
      <c r="U17" s="3"/>
      <c r="V17" s="3">
        <v>0.18</v>
      </c>
      <c r="W17" s="3">
        <v>1.06</v>
      </c>
      <c r="X17" s="46">
        <v>0.2</v>
      </c>
      <c r="Y17" s="3">
        <v>1.24</v>
      </c>
      <c r="Z17" s="3">
        <v>6.73</v>
      </c>
      <c r="AA17" s="3">
        <v>0.78</v>
      </c>
      <c r="AB17" s="3">
        <v>5</v>
      </c>
      <c r="AC17" s="3"/>
      <c r="AD17" s="3"/>
      <c r="AE17" s="3"/>
      <c r="AF17" s="3"/>
      <c r="AG17" s="3">
        <v>7.42</v>
      </c>
      <c r="AH17" s="3"/>
      <c r="AI17" s="3"/>
      <c r="AJ17" s="3"/>
      <c r="AK17" s="3"/>
      <c r="AL17" s="3"/>
      <c r="AM17" s="3"/>
      <c r="AN17" s="3" t="s">
        <v>118</v>
      </c>
      <c r="AO17" s="3" t="s">
        <v>237</v>
      </c>
    </row>
    <row r="18" spans="1:41" ht="30.75" thickBot="1">
      <c r="A18" s="5" t="s">
        <v>449</v>
      </c>
      <c r="B18" s="93" t="s">
        <v>448</v>
      </c>
      <c r="C18" s="5" t="s">
        <v>155</v>
      </c>
      <c r="D18" s="37">
        <v>45594</v>
      </c>
      <c r="E18" s="5" t="s">
        <v>380</v>
      </c>
      <c r="F18" s="5"/>
      <c r="G18" s="5"/>
      <c r="H18" s="5">
        <v>41</v>
      </c>
      <c r="I18" s="5" t="s">
        <v>381</v>
      </c>
      <c r="J18" s="5"/>
      <c r="K18" s="5">
        <v>3.3000000000000002E-2</v>
      </c>
      <c r="L18" s="5">
        <v>0.01</v>
      </c>
      <c r="M18" s="5">
        <v>0.01</v>
      </c>
      <c r="N18" s="5">
        <v>3.4000000000000002E-2</v>
      </c>
      <c r="O18" s="5">
        <v>0.03</v>
      </c>
      <c r="P18" s="5">
        <v>0.18</v>
      </c>
      <c r="Q18" s="5">
        <v>0.01</v>
      </c>
      <c r="R18" s="5">
        <v>3.2000000000000001E-2</v>
      </c>
      <c r="S18" s="5">
        <v>0.02</v>
      </c>
      <c r="T18" s="5"/>
      <c r="U18" s="5"/>
      <c r="V18" s="5">
        <v>0.39</v>
      </c>
      <c r="W18" s="5">
        <v>0.77</v>
      </c>
      <c r="X18" s="91">
        <v>0.2</v>
      </c>
      <c r="Y18" s="5">
        <v>1.1599999999999999</v>
      </c>
      <c r="Z18" s="5">
        <v>6.67</v>
      </c>
      <c r="AA18" s="5">
        <v>0.45</v>
      </c>
      <c r="AB18" s="5">
        <v>7</v>
      </c>
      <c r="AC18" s="5"/>
      <c r="AD18" s="5"/>
      <c r="AE18" s="5"/>
      <c r="AF18" s="5"/>
      <c r="AG18" s="5">
        <v>7.44</v>
      </c>
      <c r="AH18" s="5"/>
      <c r="AI18" s="5"/>
      <c r="AJ18" s="5"/>
      <c r="AK18" s="5"/>
      <c r="AL18" s="5"/>
      <c r="AM18" s="5"/>
      <c r="AN18" s="5" t="s">
        <v>118</v>
      </c>
      <c r="AO18" s="5" t="s">
        <v>237</v>
      </c>
    </row>
    <row r="19" spans="1:41" ht="30.75" thickTop="1">
      <c r="A19" s="38" t="s">
        <v>449</v>
      </c>
      <c r="B19" s="92" t="s">
        <v>448</v>
      </c>
      <c r="C19" s="38" t="s">
        <v>155</v>
      </c>
      <c r="D19" s="39">
        <v>45680</v>
      </c>
      <c r="E19" s="38" t="s">
        <v>428</v>
      </c>
      <c r="F19" s="38"/>
      <c r="G19" s="38"/>
      <c r="H19" s="38">
        <v>880</v>
      </c>
      <c r="I19" s="38" t="s">
        <v>454</v>
      </c>
      <c r="J19" s="38"/>
      <c r="K19" s="38">
        <v>0.1</v>
      </c>
      <c r="L19" s="38">
        <v>0.01</v>
      </c>
      <c r="M19" s="38">
        <v>0.01</v>
      </c>
      <c r="N19" s="38">
        <v>0.39</v>
      </c>
      <c r="O19" s="38">
        <v>0.03</v>
      </c>
      <c r="P19" s="38">
        <v>0.24</v>
      </c>
      <c r="Q19" s="38">
        <v>0.01</v>
      </c>
      <c r="R19" s="38">
        <v>4.9000000000000002E-2</v>
      </c>
      <c r="S19" s="38">
        <v>0.01</v>
      </c>
      <c r="T19" s="38"/>
      <c r="U19" s="38"/>
      <c r="V19" s="38">
        <v>1.47</v>
      </c>
      <c r="W19" s="38">
        <v>76.2</v>
      </c>
      <c r="X19" s="38">
        <v>102</v>
      </c>
      <c r="Y19" s="38">
        <v>78.69</v>
      </c>
      <c r="Z19" s="38">
        <v>36</v>
      </c>
      <c r="AA19" s="38">
        <v>3.23</v>
      </c>
      <c r="AB19" s="38">
        <v>116</v>
      </c>
      <c r="AC19" s="38"/>
      <c r="AD19" s="38"/>
      <c r="AE19" s="38"/>
      <c r="AF19" s="38"/>
      <c r="AG19" s="38">
        <v>7.2</v>
      </c>
      <c r="AH19" s="38"/>
      <c r="AI19" s="38"/>
      <c r="AJ19" s="38"/>
      <c r="AK19" s="38"/>
      <c r="AL19" s="38"/>
      <c r="AM19" s="38"/>
      <c r="AN19" s="38" t="s">
        <v>118</v>
      </c>
      <c r="AO19" s="38" t="s">
        <v>237</v>
      </c>
    </row>
    <row r="20" spans="1:41" ht="30">
      <c r="A20" s="3" t="s">
        <v>449</v>
      </c>
      <c r="B20" s="70" t="s">
        <v>448</v>
      </c>
      <c r="C20" s="3" t="s">
        <v>155</v>
      </c>
      <c r="D20" s="33">
        <v>45758</v>
      </c>
      <c r="E20" s="3" t="s">
        <v>457</v>
      </c>
      <c r="F20" s="3"/>
      <c r="G20" s="3"/>
      <c r="H20" s="3">
        <v>684</v>
      </c>
      <c r="I20" s="3" t="s">
        <v>458</v>
      </c>
      <c r="J20" s="3"/>
      <c r="K20" s="3">
        <v>0.1</v>
      </c>
      <c r="L20" s="3">
        <v>0.01</v>
      </c>
      <c r="M20" s="3">
        <v>0.01</v>
      </c>
      <c r="N20" s="3">
        <v>0.25</v>
      </c>
      <c r="O20" s="3">
        <v>0.03</v>
      </c>
      <c r="P20" s="3">
        <v>0.19</v>
      </c>
      <c r="Q20" s="3">
        <v>0.01</v>
      </c>
      <c r="R20" s="3">
        <v>3.9E-2</v>
      </c>
      <c r="S20" s="3">
        <v>0.02</v>
      </c>
      <c r="T20" s="3"/>
      <c r="U20" s="3"/>
      <c r="V20" s="3">
        <v>0.75</v>
      </c>
      <c r="W20" s="3">
        <v>45.3</v>
      </c>
      <c r="X20" s="3">
        <v>0.48</v>
      </c>
      <c r="Y20" s="3">
        <v>46.53</v>
      </c>
      <c r="Z20" s="3">
        <v>29.9</v>
      </c>
      <c r="AA20" s="3">
        <v>3.93</v>
      </c>
      <c r="AB20" s="3">
        <v>110</v>
      </c>
      <c r="AC20" s="3"/>
      <c r="AD20" s="3"/>
      <c r="AE20" s="3"/>
      <c r="AF20" s="3"/>
      <c r="AG20" s="3">
        <v>7.6</v>
      </c>
      <c r="AH20" s="3"/>
      <c r="AI20" s="3"/>
      <c r="AJ20" s="3"/>
      <c r="AK20" s="3"/>
      <c r="AL20" s="3"/>
      <c r="AM20" s="3"/>
      <c r="AN20" s="3" t="s">
        <v>118</v>
      </c>
      <c r="AO20" s="3" t="s">
        <v>237</v>
      </c>
    </row>
    <row r="24" spans="1:41">
      <c r="E24" s="53"/>
    </row>
  </sheetData>
  <autoFilter ref="A6:AO19" xr:uid="{00000000-0009-0000-0000-000010000000}"/>
  <mergeCells count="15">
    <mergeCell ref="A1:AO1"/>
    <mergeCell ref="A2:AO2"/>
    <mergeCell ref="C3:AO3"/>
    <mergeCell ref="A4:A7"/>
    <mergeCell ref="F4:AM4"/>
    <mergeCell ref="AN4:AN6"/>
    <mergeCell ref="AO4:AO6"/>
    <mergeCell ref="C4:C6"/>
    <mergeCell ref="D4:D6"/>
    <mergeCell ref="E4:E6"/>
    <mergeCell ref="C7:E7"/>
    <mergeCell ref="B4:B7"/>
    <mergeCell ref="AF5:AG5"/>
    <mergeCell ref="AF6:AG6"/>
    <mergeCell ref="V7:W7"/>
  </mergeCells>
  <phoneticPr fontId="14" type="noConversion"/>
  <conditionalFormatting sqref="F18:F2000">
    <cfRule type="cellIs" dxfId="49" priority="53" operator="greaterThan">
      <formula>0.4</formula>
    </cfRule>
    <cfRule type="cellIs" dxfId="48" priority="54" operator="between">
      <formula>0.32</formula>
      <formula>0.4</formula>
    </cfRule>
  </conditionalFormatting>
  <conditionalFormatting sqref="G18:G2000">
    <cfRule type="cellIs" dxfId="47" priority="52" operator="between">
      <formula>200</formula>
      <formula>250</formula>
    </cfRule>
    <cfRule type="cellIs" dxfId="46" priority="51" operator="greaterThan">
      <formula>250</formula>
    </cfRule>
  </conditionalFormatting>
  <conditionalFormatting sqref="H18:H2000">
    <cfRule type="cellIs" dxfId="45" priority="50" operator="between">
      <formula>720</formula>
      <formula>900</formula>
    </cfRule>
    <cfRule type="cellIs" dxfId="44" priority="49" operator="greaterThan">
      <formula>900</formula>
    </cfRule>
  </conditionalFormatting>
  <conditionalFormatting sqref="I18:I2000">
    <cfRule type="cellIs" dxfId="43" priority="48" operator="greaterThan">
      <formula>$I$7</formula>
    </cfRule>
  </conditionalFormatting>
  <conditionalFormatting sqref="J18:J2000">
    <cfRule type="cellIs" dxfId="42" priority="47" operator="between">
      <formula>5.6</formula>
      <formula>7</formula>
    </cfRule>
    <cfRule type="cellIs" dxfId="41" priority="46" operator="greaterThan">
      <formula>7</formula>
    </cfRule>
  </conditionalFormatting>
  <conditionalFormatting sqref="K18:K2000">
    <cfRule type="cellIs" dxfId="40" priority="45" operator="between">
      <formula>0.08</formula>
      <formula>0.1</formula>
    </cfRule>
    <cfRule type="cellIs" dxfId="39" priority="44" operator="greaterThan">
      <formula>0.1</formula>
    </cfRule>
  </conditionalFormatting>
  <conditionalFormatting sqref="L18:L2000">
    <cfRule type="cellIs" dxfId="38" priority="42" operator="greaterThan">
      <formula>0.4</formula>
    </cfRule>
    <cfRule type="cellIs" dxfId="37" priority="43" operator="between">
      <formula>0.32</formula>
      <formula>0.4</formula>
    </cfRule>
  </conditionalFormatting>
  <conditionalFormatting sqref="M18:M2000">
    <cfRule type="cellIs" dxfId="36" priority="41" operator="between">
      <formula>0.08</formula>
      <formula>0.1</formula>
    </cfRule>
    <cfRule type="cellIs" dxfId="35" priority="40" operator="greaterThan">
      <formula>0.1</formula>
    </cfRule>
  </conditionalFormatting>
  <conditionalFormatting sqref="N18:N2000">
    <cfRule type="cellIs" dxfId="34" priority="38" operator="greaterThan">
      <formula>0.5</formula>
    </cfRule>
    <cfRule type="cellIs" dxfId="33" priority="39" operator="between">
      <formula>0.4</formula>
      <formula>0.5</formula>
    </cfRule>
  </conditionalFormatting>
  <conditionalFormatting sqref="O18:O2000">
    <cfRule type="cellIs" dxfId="32" priority="37" operator="between">
      <formula>0.08</formula>
      <formula>0.1</formula>
    </cfRule>
    <cfRule type="cellIs" dxfId="31" priority="36" operator="greaterThan">
      <formula>0.1</formula>
    </cfRule>
  </conditionalFormatting>
  <conditionalFormatting sqref="P18:P2000">
    <cfRule type="cellIs" dxfId="30" priority="35" operator="between">
      <formula>3.2</formula>
      <formula>4</formula>
    </cfRule>
    <cfRule type="cellIs" dxfId="29" priority="34" operator="greaterThan">
      <formula>4</formula>
    </cfRule>
  </conditionalFormatting>
  <conditionalFormatting sqref="Q18:Q2000">
    <cfRule type="cellIs" dxfId="28" priority="30" operator="greaterThan">
      <formula>0.02</formula>
    </cfRule>
    <cfRule type="cellIs" dxfId="27" priority="31" operator="between">
      <formula>0.016</formula>
      <formula>0.02</formula>
    </cfRule>
  </conditionalFormatting>
  <conditionalFormatting sqref="R18:R2000">
    <cfRule type="cellIs" dxfId="26" priority="32" operator="greaterThan">
      <formula>4</formula>
    </cfRule>
    <cfRule type="cellIs" dxfId="25" priority="33" operator="between">
      <formula>3.2</formula>
      <formula>4</formula>
    </cfRule>
  </conditionalFormatting>
  <conditionalFormatting sqref="S18:S2000">
    <cfRule type="cellIs" dxfId="24" priority="29" operator="between">
      <formula>0.24</formula>
      <formula>0.3</formula>
    </cfRule>
    <cfRule type="cellIs" dxfId="23" priority="28" operator="greaterThan">
      <formula>0.3</formula>
    </cfRule>
  </conditionalFormatting>
  <conditionalFormatting sqref="Y18:Y2000">
    <cfRule type="cellIs" dxfId="22" priority="27" operator="between">
      <formula>64</formula>
      <formula>80</formula>
    </cfRule>
    <cfRule type="cellIs" dxfId="21" priority="26" operator="greaterThan">
      <formula>80</formula>
    </cfRule>
  </conditionalFormatting>
  <conditionalFormatting sqref="Z18:Z2000">
    <cfRule type="cellIs" dxfId="20" priority="24" operator="greaterThan">
      <formula>54</formula>
    </cfRule>
    <cfRule type="cellIs" dxfId="19" priority="25" operator="between">
      <formula>43.2</formula>
      <formula>54</formula>
    </cfRule>
  </conditionalFormatting>
  <conditionalFormatting sqref="AA18:AA2000">
    <cfRule type="cellIs" dxfId="18" priority="23" operator="between">
      <formula>8</formula>
      <formula>10</formula>
    </cfRule>
    <cfRule type="cellIs" dxfId="17" priority="22" operator="greaterThan">
      <formula>10</formula>
    </cfRule>
  </conditionalFormatting>
  <conditionalFormatting sqref="AB18:AB2000">
    <cfRule type="cellIs" dxfId="16" priority="21" operator="between">
      <formula>160</formula>
      <formula>200</formula>
    </cfRule>
    <cfRule type="cellIs" dxfId="15" priority="20" operator="greaterThan">
      <formula>200</formula>
    </cfRule>
  </conditionalFormatting>
  <conditionalFormatting sqref="AC18:AE2000">
    <cfRule type="cellIs" dxfId="14" priority="12" operator="between">
      <formula>40</formula>
      <formula>50</formula>
    </cfRule>
    <cfRule type="cellIs" dxfId="13" priority="11" operator="greaterThan">
      <formula>50</formula>
    </cfRule>
  </conditionalFormatting>
  <conditionalFormatting sqref="AG18:AG2000">
    <cfRule type="cellIs" dxfId="12" priority="19" operator="greaterThan">
      <formula>9.5</formula>
    </cfRule>
  </conditionalFormatting>
  <conditionalFormatting sqref="AH18:AH2000">
    <cfRule type="cellIs" dxfId="11" priority="17" operator="greaterThan">
      <formula>30</formula>
    </cfRule>
    <cfRule type="cellIs" dxfId="10" priority="18" operator="between">
      <formula>24</formula>
      <formula>30</formula>
    </cfRule>
  </conditionalFormatting>
  <conditionalFormatting sqref="AI18:AI2000">
    <cfRule type="cellIs" dxfId="9" priority="10" operator="between">
      <formula>0.048</formula>
      <formula>0.6</formula>
    </cfRule>
    <cfRule type="cellIs" dxfId="8" priority="9" operator="greaterThan">
      <formula>0.6</formula>
    </cfRule>
  </conditionalFormatting>
  <conditionalFormatting sqref="AJ18:AJ2000">
    <cfRule type="cellIs" dxfId="7" priority="7" operator="greaterThan">
      <formula>30</formula>
    </cfRule>
    <cfRule type="cellIs" dxfId="6" priority="8" operator="between">
      <formula>24</formula>
      <formula>30</formula>
    </cfRule>
  </conditionalFormatting>
  <conditionalFormatting sqref="AK18:AK2000">
    <cfRule type="cellIs" dxfId="5" priority="6" operator="between">
      <formula>960</formula>
      <formula>1200</formula>
    </cfRule>
    <cfRule type="cellIs" dxfId="4" priority="5" operator="greaterThan">
      <formula>1200</formula>
    </cfRule>
  </conditionalFormatting>
  <conditionalFormatting sqref="AL18:AL2000">
    <cfRule type="cellIs" dxfId="3" priority="3" operator="greaterThan">
      <formula>1000</formula>
    </cfRule>
    <cfRule type="cellIs" dxfId="2" priority="4" operator="between">
      <formula>800</formula>
      <formula>1000</formula>
    </cfRule>
  </conditionalFormatting>
  <conditionalFormatting sqref="AM18:AM2000">
    <cfRule type="cellIs" dxfId="1" priority="2" operator="between">
      <formula>0.8</formula>
      <formula>1</formula>
    </cfRule>
    <cfRule type="cellIs" dxfId="0" priority="1" operator="greaterThan">
      <formula>1</formula>
    </cfRule>
  </conditionalFormatting>
  <pageMargins left="0.25" right="0.25" top="0.75" bottom="0.75" header="0.3" footer="0.3"/>
  <pageSetup paperSize="8" scale="25"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59999389629810485"/>
  </sheetPr>
  <dimension ref="A1:G19"/>
  <sheetViews>
    <sheetView workbookViewId="0">
      <pane ySplit="4" topLeftCell="A17" activePane="bottomLeft" state="frozen"/>
      <selection pane="bottomLeft" activeCell="B3" sqref="B3:G3"/>
    </sheetView>
  </sheetViews>
  <sheetFormatPr defaultRowHeight="15"/>
  <cols>
    <col min="1" max="7" width="20.7109375" style="1" customWidth="1"/>
  </cols>
  <sheetData>
    <row r="1" spans="1:7" s="1" customFormat="1" ht="18.75" customHeight="1">
      <c r="A1" s="143" t="s">
        <v>231</v>
      </c>
      <c r="B1" s="143"/>
      <c r="C1" s="143"/>
      <c r="D1" s="143"/>
      <c r="E1" s="143"/>
      <c r="F1" s="143"/>
      <c r="G1" s="143"/>
    </row>
    <row r="2" spans="1:7" s="18" customFormat="1" ht="18.75" customHeight="1">
      <c r="A2" s="143" t="s">
        <v>242</v>
      </c>
      <c r="B2" s="143"/>
      <c r="C2" s="143"/>
      <c r="D2" s="143"/>
      <c r="E2" s="143"/>
      <c r="F2" s="143"/>
      <c r="G2" s="143"/>
    </row>
    <row r="3" spans="1:7" s="18" customFormat="1" ht="18.75" customHeight="1">
      <c r="A3" s="10" t="s">
        <v>252</v>
      </c>
      <c r="B3" s="143" t="s">
        <v>253</v>
      </c>
      <c r="C3" s="143"/>
      <c r="D3" s="143"/>
      <c r="E3" s="143"/>
      <c r="F3" s="143"/>
      <c r="G3" s="143"/>
    </row>
    <row r="4" spans="1:7" ht="45">
      <c r="A4" s="11" t="s">
        <v>254</v>
      </c>
      <c r="B4" s="11" t="s">
        <v>255</v>
      </c>
      <c r="C4" s="11" t="s">
        <v>256</v>
      </c>
      <c r="D4" s="11" t="s">
        <v>257</v>
      </c>
      <c r="E4" s="11" t="s">
        <v>258</v>
      </c>
      <c r="F4" s="11" t="s">
        <v>208</v>
      </c>
      <c r="G4" s="11" t="s">
        <v>259</v>
      </c>
    </row>
    <row r="5" spans="1:7" ht="30">
      <c r="A5" s="3" t="s">
        <v>260</v>
      </c>
      <c r="B5" s="3" t="s">
        <v>261</v>
      </c>
      <c r="C5" s="33" t="s">
        <v>262</v>
      </c>
      <c r="D5" s="3" t="s">
        <v>263</v>
      </c>
      <c r="E5" s="3" t="s">
        <v>264</v>
      </c>
      <c r="F5" s="3" t="s">
        <v>265</v>
      </c>
      <c r="G5" s="3" t="s">
        <v>266</v>
      </c>
    </row>
    <row r="6" spans="1:7" ht="30">
      <c r="A6" s="3" t="s">
        <v>267</v>
      </c>
      <c r="B6" s="3" t="s">
        <v>268</v>
      </c>
      <c r="C6" s="3" t="s">
        <v>269</v>
      </c>
      <c r="D6" s="3" t="s">
        <v>270</v>
      </c>
      <c r="E6" s="3" t="s">
        <v>264</v>
      </c>
      <c r="F6" s="3" t="s">
        <v>265</v>
      </c>
      <c r="G6" s="3" t="s">
        <v>266</v>
      </c>
    </row>
    <row r="7" spans="1:7" ht="30">
      <c r="A7" s="3" t="s">
        <v>267</v>
      </c>
      <c r="B7" s="3" t="s">
        <v>271</v>
      </c>
      <c r="C7" s="3" t="s">
        <v>269</v>
      </c>
      <c r="D7" s="3" t="s">
        <v>272</v>
      </c>
      <c r="E7" s="3" t="s">
        <v>264</v>
      </c>
      <c r="F7" s="3" t="s">
        <v>265</v>
      </c>
      <c r="G7" s="3" t="s">
        <v>266</v>
      </c>
    </row>
    <row r="8" spans="1:7" ht="30">
      <c r="A8" s="3" t="s">
        <v>267</v>
      </c>
      <c r="B8" s="3" t="s">
        <v>273</v>
      </c>
      <c r="C8" s="3" t="s">
        <v>274</v>
      </c>
      <c r="D8" s="3" t="s">
        <v>275</v>
      </c>
      <c r="E8" s="3" t="s">
        <v>264</v>
      </c>
      <c r="F8" s="3" t="s">
        <v>265</v>
      </c>
      <c r="G8" s="3" t="s">
        <v>266</v>
      </c>
    </row>
    <row r="9" spans="1:7" ht="30">
      <c r="A9" s="3" t="s">
        <v>260</v>
      </c>
      <c r="B9" s="3" t="s">
        <v>276</v>
      </c>
      <c r="C9" s="3" t="s">
        <v>277</v>
      </c>
      <c r="D9" s="3" t="s">
        <v>278</v>
      </c>
      <c r="E9" s="3" t="s">
        <v>264</v>
      </c>
      <c r="F9" s="3" t="s">
        <v>265</v>
      </c>
      <c r="G9" s="3" t="s">
        <v>266</v>
      </c>
    </row>
    <row r="10" spans="1:7" ht="30">
      <c r="A10" s="3" t="s">
        <v>260</v>
      </c>
      <c r="B10" s="3" t="s">
        <v>279</v>
      </c>
      <c r="C10" s="3" t="s">
        <v>302</v>
      </c>
      <c r="D10" s="3" t="s">
        <v>280</v>
      </c>
      <c r="E10" s="3" t="s">
        <v>264</v>
      </c>
      <c r="F10" s="3" t="s">
        <v>265</v>
      </c>
      <c r="G10" s="3" t="s">
        <v>266</v>
      </c>
    </row>
    <row r="11" spans="1:7" ht="30">
      <c r="A11" s="3" t="s">
        <v>260</v>
      </c>
      <c r="B11" s="3" t="s">
        <v>281</v>
      </c>
      <c r="C11" s="3" t="s">
        <v>303</v>
      </c>
      <c r="D11" s="3" t="s">
        <v>282</v>
      </c>
      <c r="E11" s="3" t="s">
        <v>264</v>
      </c>
      <c r="F11" s="3" t="s">
        <v>265</v>
      </c>
      <c r="G11" s="3" t="s">
        <v>266</v>
      </c>
    </row>
    <row r="12" spans="1:7" ht="30">
      <c r="A12" s="3" t="s">
        <v>260</v>
      </c>
      <c r="B12" s="3" t="s">
        <v>283</v>
      </c>
      <c r="C12" s="3" t="s">
        <v>284</v>
      </c>
      <c r="D12" s="3" t="s">
        <v>282</v>
      </c>
      <c r="E12" s="3" t="s">
        <v>264</v>
      </c>
      <c r="F12" s="3" t="s">
        <v>265</v>
      </c>
      <c r="G12" s="3" t="s">
        <v>266</v>
      </c>
    </row>
    <row r="13" spans="1:7" ht="45">
      <c r="A13" s="3" t="s">
        <v>267</v>
      </c>
      <c r="B13" s="3" t="s">
        <v>285</v>
      </c>
      <c r="C13" s="3" t="s">
        <v>286</v>
      </c>
      <c r="D13" s="3" t="s">
        <v>287</v>
      </c>
      <c r="E13" s="3" t="s">
        <v>288</v>
      </c>
      <c r="F13" s="3" t="s">
        <v>289</v>
      </c>
      <c r="G13" s="3" t="s">
        <v>237</v>
      </c>
    </row>
    <row r="14" spans="1:7" ht="30">
      <c r="A14" s="3" t="s">
        <v>290</v>
      </c>
      <c r="B14" s="3" t="s">
        <v>291</v>
      </c>
      <c r="C14" s="3" t="s">
        <v>269</v>
      </c>
      <c r="D14" s="3" t="s">
        <v>270</v>
      </c>
      <c r="E14" s="3" t="s">
        <v>264</v>
      </c>
      <c r="F14" s="3" t="s">
        <v>292</v>
      </c>
      <c r="G14" s="3" t="s">
        <v>266</v>
      </c>
    </row>
    <row r="15" spans="1:7" ht="30">
      <c r="A15" s="3" t="s">
        <v>290</v>
      </c>
      <c r="B15" s="3" t="s">
        <v>293</v>
      </c>
      <c r="C15" s="3" t="s">
        <v>294</v>
      </c>
      <c r="D15" s="3" t="s">
        <v>295</v>
      </c>
      <c r="E15" s="3" t="s">
        <v>264</v>
      </c>
      <c r="F15" s="3" t="s">
        <v>292</v>
      </c>
      <c r="G15" s="3" t="s">
        <v>266</v>
      </c>
    </row>
    <row r="16" spans="1:7" ht="30">
      <c r="A16" s="3" t="s">
        <v>296</v>
      </c>
      <c r="B16" s="3" t="s">
        <v>291</v>
      </c>
      <c r="C16" s="3" t="s">
        <v>269</v>
      </c>
      <c r="D16" s="3" t="s">
        <v>270</v>
      </c>
      <c r="E16" s="3" t="s">
        <v>264</v>
      </c>
      <c r="F16" s="3" t="s">
        <v>292</v>
      </c>
      <c r="G16" s="3" t="s">
        <v>266</v>
      </c>
    </row>
    <row r="17" spans="1:7" ht="30">
      <c r="A17" s="3" t="s">
        <v>296</v>
      </c>
      <c r="B17" s="3" t="s">
        <v>293</v>
      </c>
      <c r="C17" s="3" t="s">
        <v>294</v>
      </c>
      <c r="D17" s="3" t="s">
        <v>295</v>
      </c>
      <c r="E17" s="3" t="s">
        <v>264</v>
      </c>
      <c r="F17" s="3" t="s">
        <v>292</v>
      </c>
      <c r="G17" s="3" t="s">
        <v>266</v>
      </c>
    </row>
    <row r="18" spans="1:7" ht="45">
      <c r="A18" s="3" t="s">
        <v>297</v>
      </c>
      <c r="B18" s="3" t="s">
        <v>283</v>
      </c>
      <c r="C18" s="3" t="s">
        <v>298</v>
      </c>
      <c r="D18" s="3" t="s">
        <v>299</v>
      </c>
      <c r="E18" s="3" t="s">
        <v>264</v>
      </c>
      <c r="F18" s="3" t="s">
        <v>292</v>
      </c>
      <c r="G18" s="3" t="s">
        <v>266</v>
      </c>
    </row>
    <row r="19" spans="1:7" ht="45">
      <c r="A19" s="3" t="s">
        <v>297</v>
      </c>
      <c r="B19" s="3" t="s">
        <v>300</v>
      </c>
      <c r="C19" s="3" t="s">
        <v>301</v>
      </c>
      <c r="D19" s="3" t="s">
        <v>299</v>
      </c>
      <c r="E19" s="3" t="s">
        <v>264</v>
      </c>
      <c r="F19" s="3" t="s">
        <v>292</v>
      </c>
      <c r="G19" s="3" t="s">
        <v>266</v>
      </c>
    </row>
  </sheetData>
  <autoFilter ref="A4:G4" xr:uid="{00000000-0009-0000-0000-000011000000}"/>
  <mergeCells count="3">
    <mergeCell ref="A1:G1"/>
    <mergeCell ref="A2:G2"/>
    <mergeCell ref="B3:G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tint="0.59999389629810485"/>
  </sheetPr>
  <dimension ref="A1:N50"/>
  <sheetViews>
    <sheetView workbookViewId="0">
      <pane xSplit="2" ySplit="3" topLeftCell="C43" activePane="bottomRight" state="frozen"/>
      <selection pane="topRight" activeCell="C1" sqref="C1"/>
      <selection pane="bottomLeft" activeCell="A4" sqref="A4"/>
      <selection pane="bottomRight" activeCell="B2" sqref="B2:N2"/>
    </sheetView>
  </sheetViews>
  <sheetFormatPr defaultRowHeight="15"/>
  <cols>
    <col min="1" max="7" width="20.7109375" style="1" customWidth="1"/>
    <col min="8" max="13" width="15.7109375" style="1" customWidth="1"/>
    <col min="14" max="14" width="20.7109375" style="1" customWidth="1"/>
  </cols>
  <sheetData>
    <row r="1" spans="1:14" s="1" customFormat="1" ht="18.75" customHeight="1">
      <c r="A1" s="181" t="s">
        <v>305</v>
      </c>
      <c r="B1" s="182"/>
      <c r="C1" s="182"/>
      <c r="D1" s="182"/>
      <c r="E1" s="182"/>
      <c r="F1" s="182"/>
      <c r="G1" s="182"/>
      <c r="H1" s="182"/>
      <c r="I1" s="182"/>
      <c r="J1" s="182"/>
      <c r="K1" s="182"/>
      <c r="L1" s="182"/>
      <c r="M1" s="182"/>
      <c r="N1" s="183"/>
    </row>
    <row r="2" spans="1:14" s="18" customFormat="1" ht="18.75" customHeight="1">
      <c r="A2" s="13" t="s">
        <v>371</v>
      </c>
      <c r="B2" s="181" t="s">
        <v>304</v>
      </c>
      <c r="C2" s="182"/>
      <c r="D2" s="182"/>
      <c r="E2" s="182"/>
      <c r="F2" s="182"/>
      <c r="G2" s="182"/>
      <c r="H2" s="182"/>
      <c r="I2" s="182"/>
      <c r="J2" s="182"/>
      <c r="K2" s="182"/>
      <c r="L2" s="182"/>
      <c r="M2" s="182"/>
      <c r="N2" s="183"/>
    </row>
    <row r="3" spans="1:14" ht="75">
      <c r="A3" s="14" t="s">
        <v>47</v>
      </c>
      <c r="B3" s="14" t="s">
        <v>48</v>
      </c>
      <c r="C3" s="14" t="s">
        <v>3</v>
      </c>
      <c r="D3" s="14" t="s">
        <v>62</v>
      </c>
      <c r="E3" s="14" t="s">
        <v>306</v>
      </c>
      <c r="F3" s="14" t="s">
        <v>307</v>
      </c>
      <c r="G3" s="14" t="s">
        <v>49</v>
      </c>
      <c r="H3" s="14" t="s">
        <v>731</v>
      </c>
      <c r="I3" s="14" t="s">
        <v>382</v>
      </c>
      <c r="J3" s="14" t="s">
        <v>401</v>
      </c>
      <c r="K3" s="14" t="s">
        <v>708</v>
      </c>
      <c r="L3" s="14" t="s">
        <v>115</v>
      </c>
      <c r="M3" s="14" t="s">
        <v>51</v>
      </c>
      <c r="N3" s="14" t="s">
        <v>8</v>
      </c>
    </row>
    <row r="4" spans="1:14" ht="60">
      <c r="A4" s="3" t="s">
        <v>709</v>
      </c>
      <c r="B4" s="3" t="s">
        <v>710</v>
      </c>
      <c r="C4" s="3" t="s">
        <v>318</v>
      </c>
      <c r="D4" s="3" t="s">
        <v>311</v>
      </c>
      <c r="E4" s="3" t="s">
        <v>711</v>
      </c>
      <c r="F4" s="3" t="s">
        <v>313</v>
      </c>
      <c r="G4" s="3" t="s">
        <v>314</v>
      </c>
      <c r="H4" s="47"/>
      <c r="I4" s="47"/>
      <c r="J4" s="47"/>
      <c r="K4" s="47"/>
      <c r="L4" s="3" t="s">
        <v>315</v>
      </c>
      <c r="M4" s="3" t="s">
        <v>67</v>
      </c>
      <c r="N4" s="3" t="s">
        <v>17</v>
      </c>
    </row>
    <row r="5" spans="1:14" ht="75">
      <c r="A5" s="3" t="s">
        <v>403</v>
      </c>
      <c r="B5" s="3" t="s">
        <v>389</v>
      </c>
      <c r="C5" s="33" t="s">
        <v>318</v>
      </c>
      <c r="D5" s="3" t="s">
        <v>311</v>
      </c>
      <c r="E5" s="3" t="s">
        <v>749</v>
      </c>
      <c r="F5" s="3" t="s">
        <v>313</v>
      </c>
      <c r="G5" s="3" t="s">
        <v>314</v>
      </c>
      <c r="H5" s="47">
        <v>22300</v>
      </c>
      <c r="I5" s="47">
        <v>6199</v>
      </c>
      <c r="J5" s="47">
        <v>7020</v>
      </c>
      <c r="K5" s="47">
        <v>147034</v>
      </c>
      <c r="L5" s="3" t="s">
        <v>315</v>
      </c>
      <c r="M5" s="3" t="s">
        <v>67</v>
      </c>
      <c r="N5" s="3" t="s">
        <v>17</v>
      </c>
    </row>
    <row r="6" spans="1:14" ht="30">
      <c r="A6" s="3" t="s">
        <v>308</v>
      </c>
      <c r="B6" s="3" t="s">
        <v>309</v>
      </c>
      <c r="C6" s="3" t="s">
        <v>310</v>
      </c>
      <c r="D6" s="3" t="s">
        <v>311</v>
      </c>
      <c r="E6" s="3" t="s">
        <v>312</v>
      </c>
      <c r="F6" s="3" t="s">
        <v>313</v>
      </c>
      <c r="G6" s="3" t="s">
        <v>314</v>
      </c>
      <c r="H6" s="47"/>
      <c r="I6" s="47">
        <v>29740</v>
      </c>
      <c r="J6" s="47">
        <v>25340</v>
      </c>
      <c r="K6" s="47">
        <v>24940</v>
      </c>
      <c r="L6" s="3" t="s">
        <v>315</v>
      </c>
      <c r="M6" s="3" t="s">
        <v>67</v>
      </c>
      <c r="N6" s="3" t="s">
        <v>17</v>
      </c>
    </row>
    <row r="7" spans="1:14" ht="45">
      <c r="A7" s="3" t="s">
        <v>316</v>
      </c>
      <c r="B7" s="3" t="s">
        <v>317</v>
      </c>
      <c r="C7" s="3" t="s">
        <v>318</v>
      </c>
      <c r="D7" s="3" t="s">
        <v>311</v>
      </c>
      <c r="E7" s="3" t="s">
        <v>319</v>
      </c>
      <c r="F7" s="3" t="s">
        <v>383</v>
      </c>
      <c r="G7" s="3" t="s">
        <v>314</v>
      </c>
      <c r="H7" s="47">
        <v>1710</v>
      </c>
      <c r="I7" s="47"/>
      <c r="J7" s="47"/>
      <c r="K7" s="47"/>
      <c r="L7" s="3" t="s">
        <v>315</v>
      </c>
      <c r="M7" s="3" t="s">
        <v>67</v>
      </c>
      <c r="N7" s="3" t="s">
        <v>17</v>
      </c>
    </row>
    <row r="8" spans="1:14" ht="75">
      <c r="A8" s="3" t="s">
        <v>405</v>
      </c>
      <c r="B8" s="3" t="s">
        <v>391</v>
      </c>
      <c r="C8" s="3" t="s">
        <v>322</v>
      </c>
      <c r="D8" s="3" t="s">
        <v>311</v>
      </c>
      <c r="E8" s="3" t="s">
        <v>323</v>
      </c>
      <c r="F8" s="3" t="s">
        <v>383</v>
      </c>
      <c r="G8" s="3" t="s">
        <v>314</v>
      </c>
      <c r="H8" s="47"/>
      <c r="I8" s="47">
        <v>125</v>
      </c>
      <c r="J8" s="47"/>
      <c r="K8" s="47">
        <v>100</v>
      </c>
      <c r="L8" s="3" t="s">
        <v>315</v>
      </c>
      <c r="M8" s="3" t="s">
        <v>67</v>
      </c>
      <c r="N8" s="3" t="s">
        <v>17</v>
      </c>
    </row>
    <row r="9" spans="1:14" ht="60">
      <c r="A9" s="3" t="s">
        <v>712</v>
      </c>
      <c r="B9" s="3" t="s">
        <v>713</v>
      </c>
      <c r="C9" s="3" t="s">
        <v>339</v>
      </c>
      <c r="D9" s="3" t="s">
        <v>311</v>
      </c>
      <c r="E9" s="3" t="s">
        <v>312</v>
      </c>
      <c r="F9" s="3" t="s">
        <v>313</v>
      </c>
      <c r="G9" s="3" t="s">
        <v>314</v>
      </c>
      <c r="H9" s="47"/>
      <c r="I9" s="47"/>
      <c r="J9" s="47"/>
      <c r="K9" s="47">
        <v>350</v>
      </c>
      <c r="L9" s="3" t="s">
        <v>315</v>
      </c>
      <c r="M9" s="3" t="s">
        <v>67</v>
      </c>
      <c r="N9" s="3" t="s">
        <v>17</v>
      </c>
    </row>
    <row r="10" spans="1:14" ht="45">
      <c r="A10" s="3" t="s">
        <v>714</v>
      </c>
      <c r="B10" s="3" t="s">
        <v>715</v>
      </c>
      <c r="C10" s="3" t="s">
        <v>339</v>
      </c>
      <c r="D10" s="3" t="s">
        <v>311</v>
      </c>
      <c r="E10" s="3" t="s">
        <v>323</v>
      </c>
      <c r="F10" s="3" t="s">
        <v>313</v>
      </c>
      <c r="G10" s="3" t="s">
        <v>314</v>
      </c>
      <c r="H10" s="47"/>
      <c r="I10" s="47"/>
      <c r="J10" s="47"/>
      <c r="K10" s="47"/>
      <c r="L10" s="3" t="s">
        <v>315</v>
      </c>
      <c r="M10" s="3" t="s">
        <v>67</v>
      </c>
      <c r="N10" s="3" t="s">
        <v>17</v>
      </c>
    </row>
    <row r="11" spans="1:14" ht="30">
      <c r="A11" s="3" t="s">
        <v>716</v>
      </c>
      <c r="B11" s="3" t="s">
        <v>717</v>
      </c>
      <c r="C11" s="3" t="s">
        <v>322</v>
      </c>
      <c r="D11" s="3" t="s">
        <v>311</v>
      </c>
      <c r="E11" s="3" t="s">
        <v>365</v>
      </c>
      <c r="F11" s="3" t="s">
        <v>718</v>
      </c>
      <c r="G11" s="3" t="s">
        <v>314</v>
      </c>
      <c r="H11" s="47"/>
      <c r="I11" s="47"/>
      <c r="J11" s="47"/>
      <c r="K11" s="47"/>
      <c r="L11" s="3" t="s">
        <v>315</v>
      </c>
      <c r="M11" s="3" t="s">
        <v>67</v>
      </c>
      <c r="N11" s="3" t="s">
        <v>17</v>
      </c>
    </row>
    <row r="12" spans="1:14" ht="60">
      <c r="A12" s="3" t="s">
        <v>752</v>
      </c>
      <c r="B12" s="3" t="s">
        <v>719</v>
      </c>
      <c r="C12" s="3" t="s">
        <v>322</v>
      </c>
      <c r="D12" s="3" t="s">
        <v>311</v>
      </c>
      <c r="E12" s="3" t="s">
        <v>365</v>
      </c>
      <c r="F12" s="3" t="s">
        <v>313</v>
      </c>
      <c r="G12" s="3" t="s">
        <v>314</v>
      </c>
      <c r="H12" s="47"/>
      <c r="I12" s="47"/>
      <c r="J12" s="47"/>
      <c r="K12" s="47">
        <v>20</v>
      </c>
      <c r="L12" s="3" t="s">
        <v>315</v>
      </c>
      <c r="M12" s="3" t="s">
        <v>67</v>
      </c>
      <c r="N12" s="3" t="s">
        <v>17</v>
      </c>
    </row>
    <row r="13" spans="1:14" ht="30">
      <c r="A13" s="3" t="s">
        <v>720</v>
      </c>
      <c r="B13" s="3" t="s">
        <v>721</v>
      </c>
      <c r="C13" s="3" t="s">
        <v>318</v>
      </c>
      <c r="D13" s="3" t="s">
        <v>311</v>
      </c>
      <c r="E13" s="3" t="s">
        <v>365</v>
      </c>
      <c r="F13" s="3" t="s">
        <v>718</v>
      </c>
      <c r="G13" s="3" t="s">
        <v>314</v>
      </c>
      <c r="H13" s="47"/>
      <c r="I13" s="47"/>
      <c r="J13" s="47"/>
      <c r="K13" s="47"/>
      <c r="L13" s="3" t="s">
        <v>315</v>
      </c>
      <c r="M13" s="3" t="s">
        <v>67</v>
      </c>
      <c r="N13" s="3" t="s">
        <v>17</v>
      </c>
    </row>
    <row r="14" spans="1:14" ht="75">
      <c r="A14" s="3" t="s">
        <v>320</v>
      </c>
      <c r="B14" s="3" t="s">
        <v>321</v>
      </c>
      <c r="C14" s="3" t="s">
        <v>322</v>
      </c>
      <c r="D14" s="3" t="s">
        <v>311</v>
      </c>
      <c r="E14" s="3" t="s">
        <v>323</v>
      </c>
      <c r="F14" s="3" t="s">
        <v>384</v>
      </c>
      <c r="G14" s="3" t="s">
        <v>314</v>
      </c>
      <c r="H14" s="47">
        <v>1470</v>
      </c>
      <c r="I14" s="47">
        <v>1110</v>
      </c>
      <c r="J14" s="47">
        <v>1260</v>
      </c>
      <c r="K14" s="47">
        <v>730</v>
      </c>
      <c r="L14" s="3" t="s">
        <v>315</v>
      </c>
      <c r="M14" s="3" t="s">
        <v>67</v>
      </c>
      <c r="N14" s="3" t="s">
        <v>17</v>
      </c>
    </row>
    <row r="15" spans="1:14" ht="30">
      <c r="A15" s="3" t="s">
        <v>406</v>
      </c>
      <c r="B15" s="3" t="s">
        <v>390</v>
      </c>
      <c r="C15" s="3" t="s">
        <v>322</v>
      </c>
      <c r="D15" s="3" t="s">
        <v>311</v>
      </c>
      <c r="E15" s="3" t="s">
        <v>359</v>
      </c>
      <c r="F15" s="3" t="s">
        <v>386</v>
      </c>
      <c r="G15" s="3" t="s">
        <v>314</v>
      </c>
      <c r="H15" s="47"/>
      <c r="I15" s="47">
        <v>19</v>
      </c>
      <c r="J15" s="47"/>
      <c r="K15" s="47"/>
      <c r="L15" s="3" t="s">
        <v>315</v>
      </c>
      <c r="M15" s="3" t="s">
        <v>67</v>
      </c>
      <c r="N15" s="3" t="s">
        <v>17</v>
      </c>
    </row>
    <row r="16" spans="1:14" ht="30">
      <c r="A16" s="3" t="s">
        <v>324</v>
      </c>
      <c r="B16" s="3" t="s">
        <v>325</v>
      </c>
      <c r="C16" s="3" t="s">
        <v>322</v>
      </c>
      <c r="D16" s="3" t="s">
        <v>311</v>
      </c>
      <c r="E16" s="3" t="s">
        <v>312</v>
      </c>
      <c r="F16" s="3" t="s">
        <v>383</v>
      </c>
      <c r="G16" s="3" t="s">
        <v>314</v>
      </c>
      <c r="H16" s="47">
        <v>135</v>
      </c>
      <c r="I16" s="47"/>
      <c r="J16" s="47">
        <v>100</v>
      </c>
      <c r="K16" s="47"/>
      <c r="L16" s="3" t="s">
        <v>315</v>
      </c>
      <c r="M16" s="3" t="s">
        <v>67</v>
      </c>
      <c r="N16" s="3" t="s">
        <v>17</v>
      </c>
    </row>
    <row r="17" spans="1:14" ht="30">
      <c r="A17" s="3" t="s">
        <v>326</v>
      </c>
      <c r="B17" s="3" t="s">
        <v>327</v>
      </c>
      <c r="C17" s="3" t="s">
        <v>310</v>
      </c>
      <c r="D17" s="3" t="s">
        <v>311</v>
      </c>
      <c r="E17" s="3" t="s">
        <v>312</v>
      </c>
      <c r="F17" s="3" t="s">
        <v>313</v>
      </c>
      <c r="G17" s="3" t="s">
        <v>314</v>
      </c>
      <c r="H17" s="47">
        <v>20720</v>
      </c>
      <c r="I17" s="47">
        <v>34400</v>
      </c>
      <c r="J17" s="47">
        <v>29060</v>
      </c>
      <c r="K17" s="47">
        <v>27920</v>
      </c>
      <c r="L17" s="3" t="s">
        <v>315</v>
      </c>
      <c r="M17" s="3" t="s">
        <v>67</v>
      </c>
      <c r="N17" s="3" t="s">
        <v>17</v>
      </c>
    </row>
    <row r="18" spans="1:14" ht="30">
      <c r="A18" s="3" t="s">
        <v>328</v>
      </c>
      <c r="B18" s="3" t="s">
        <v>329</v>
      </c>
      <c r="C18" s="3" t="s">
        <v>310</v>
      </c>
      <c r="D18" s="3" t="s">
        <v>311</v>
      </c>
      <c r="E18" s="3" t="s">
        <v>330</v>
      </c>
      <c r="F18" s="3" t="s">
        <v>313</v>
      </c>
      <c r="G18" s="3" t="s">
        <v>314</v>
      </c>
      <c r="H18" s="47">
        <v>34509</v>
      </c>
      <c r="I18" s="47">
        <v>33296</v>
      </c>
      <c r="J18" s="47">
        <v>23965</v>
      </c>
      <c r="K18" s="47">
        <v>25650</v>
      </c>
      <c r="L18" s="3" t="s">
        <v>315</v>
      </c>
      <c r="M18" s="3" t="s">
        <v>67</v>
      </c>
      <c r="N18" s="3" t="s">
        <v>17</v>
      </c>
    </row>
    <row r="19" spans="1:14" ht="30">
      <c r="A19" s="3" t="s">
        <v>331</v>
      </c>
      <c r="B19" s="3" t="s">
        <v>332</v>
      </c>
      <c r="C19" s="3" t="s">
        <v>310</v>
      </c>
      <c r="D19" s="3" t="s">
        <v>311</v>
      </c>
      <c r="E19" s="3" t="s">
        <v>312</v>
      </c>
      <c r="F19" s="3" t="s">
        <v>313</v>
      </c>
      <c r="G19" s="3" t="s">
        <v>314</v>
      </c>
      <c r="H19" s="47">
        <v>7720</v>
      </c>
      <c r="I19" s="47">
        <v>12640</v>
      </c>
      <c r="J19" s="47">
        <v>13700</v>
      </c>
      <c r="K19" s="47">
        <v>13020</v>
      </c>
      <c r="L19" s="3" t="s">
        <v>315</v>
      </c>
      <c r="M19" s="3" t="s">
        <v>67</v>
      </c>
      <c r="N19" s="3" t="s">
        <v>17</v>
      </c>
    </row>
    <row r="20" spans="1:14" ht="30">
      <c r="A20" s="3" t="s">
        <v>333</v>
      </c>
      <c r="B20" s="3" t="s">
        <v>334</v>
      </c>
      <c r="C20" s="3" t="s">
        <v>310</v>
      </c>
      <c r="D20" s="3" t="s">
        <v>311</v>
      </c>
      <c r="E20" s="3" t="s">
        <v>312</v>
      </c>
      <c r="F20" s="3" t="s">
        <v>313</v>
      </c>
      <c r="G20" s="3" t="s">
        <v>314</v>
      </c>
      <c r="H20" s="47">
        <v>39120</v>
      </c>
      <c r="I20" s="47">
        <v>34980</v>
      </c>
      <c r="J20" s="47">
        <v>29180</v>
      </c>
      <c r="K20" s="47">
        <v>37060</v>
      </c>
      <c r="L20" s="3" t="s">
        <v>315</v>
      </c>
      <c r="M20" s="3" t="s">
        <v>67</v>
      </c>
      <c r="N20" s="3" t="s">
        <v>17</v>
      </c>
    </row>
    <row r="21" spans="1:14" ht="75">
      <c r="A21" s="3" t="s">
        <v>335</v>
      </c>
      <c r="B21" s="3" t="s">
        <v>336</v>
      </c>
      <c r="C21" s="3" t="s">
        <v>310</v>
      </c>
      <c r="D21" s="3" t="s">
        <v>311</v>
      </c>
      <c r="E21" s="3" t="s">
        <v>323</v>
      </c>
      <c r="F21" s="3" t="s">
        <v>384</v>
      </c>
      <c r="G21" s="3" t="s">
        <v>314</v>
      </c>
      <c r="H21" s="47">
        <v>11960</v>
      </c>
      <c r="I21" s="47">
        <v>10130</v>
      </c>
      <c r="J21" s="47">
        <v>6230</v>
      </c>
      <c r="K21" s="47">
        <v>8865</v>
      </c>
      <c r="L21" s="3" t="s">
        <v>315</v>
      </c>
      <c r="M21" s="3" t="s">
        <v>67</v>
      </c>
      <c r="N21" s="3" t="s">
        <v>17</v>
      </c>
    </row>
    <row r="22" spans="1:14" ht="105">
      <c r="A22" s="3" t="s">
        <v>337</v>
      </c>
      <c r="B22" s="3" t="s">
        <v>338</v>
      </c>
      <c r="C22" s="3" t="s">
        <v>339</v>
      </c>
      <c r="D22" s="3" t="s">
        <v>311</v>
      </c>
      <c r="E22" s="3" t="s">
        <v>312</v>
      </c>
      <c r="F22" s="3" t="s">
        <v>340</v>
      </c>
      <c r="G22" s="3" t="s">
        <v>314</v>
      </c>
      <c r="H22" s="47">
        <v>60</v>
      </c>
      <c r="I22" s="47">
        <v>100</v>
      </c>
      <c r="J22" s="47">
        <v>50</v>
      </c>
      <c r="K22" s="47">
        <v>65</v>
      </c>
      <c r="L22" s="3" t="s">
        <v>315</v>
      </c>
      <c r="M22" s="3" t="s">
        <v>67</v>
      </c>
      <c r="N22" s="3" t="s">
        <v>17</v>
      </c>
    </row>
    <row r="23" spans="1:14" ht="120">
      <c r="A23" s="3" t="s">
        <v>754</v>
      </c>
      <c r="B23" s="3" t="s">
        <v>341</v>
      </c>
      <c r="C23" s="3" t="s">
        <v>339</v>
      </c>
      <c r="D23" s="3" t="s">
        <v>311</v>
      </c>
      <c r="E23" s="3" t="s">
        <v>323</v>
      </c>
      <c r="F23" s="3" t="s">
        <v>384</v>
      </c>
      <c r="G23" s="3" t="s">
        <v>314</v>
      </c>
      <c r="H23" s="47">
        <v>3712</v>
      </c>
      <c r="I23" s="47">
        <v>3475</v>
      </c>
      <c r="J23" s="47">
        <v>5130</v>
      </c>
      <c r="K23" s="47">
        <v>4430</v>
      </c>
      <c r="L23" s="3" t="s">
        <v>315</v>
      </c>
      <c r="M23" s="3" t="s">
        <v>67</v>
      </c>
      <c r="N23" s="3" t="s">
        <v>17</v>
      </c>
    </row>
    <row r="24" spans="1:14" ht="75">
      <c r="A24" s="3" t="s">
        <v>342</v>
      </c>
      <c r="B24" s="3" t="s">
        <v>343</v>
      </c>
      <c r="C24" s="3" t="s">
        <v>310</v>
      </c>
      <c r="D24" s="3" t="s">
        <v>311</v>
      </c>
      <c r="E24" s="3" t="s">
        <v>312</v>
      </c>
      <c r="F24" s="3" t="s">
        <v>313</v>
      </c>
      <c r="G24" s="3" t="s">
        <v>314</v>
      </c>
      <c r="H24" s="47">
        <v>4660</v>
      </c>
      <c r="I24" s="47">
        <v>3690</v>
      </c>
      <c r="J24" s="47">
        <v>4640</v>
      </c>
      <c r="K24" s="47">
        <v>3860</v>
      </c>
      <c r="L24" s="3" t="s">
        <v>315</v>
      </c>
      <c r="M24" s="3" t="s">
        <v>67</v>
      </c>
      <c r="N24" s="3" t="s">
        <v>17</v>
      </c>
    </row>
    <row r="25" spans="1:14" ht="30">
      <c r="A25" s="3" t="s">
        <v>722</v>
      </c>
      <c r="B25" s="3" t="s">
        <v>723</v>
      </c>
      <c r="C25" s="3" t="s">
        <v>346</v>
      </c>
      <c r="D25" s="3" t="s">
        <v>311</v>
      </c>
      <c r="E25" s="3" t="s">
        <v>323</v>
      </c>
      <c r="F25" s="3" t="s">
        <v>313</v>
      </c>
      <c r="G25" s="3" t="s">
        <v>314</v>
      </c>
      <c r="H25" s="47"/>
      <c r="I25" s="47"/>
      <c r="J25" s="47"/>
      <c r="K25" s="47"/>
      <c r="L25" s="3" t="s">
        <v>315</v>
      </c>
      <c r="M25" s="3" t="s">
        <v>67</v>
      </c>
      <c r="N25" s="3" t="s">
        <v>17</v>
      </c>
    </row>
    <row r="26" spans="1:14" ht="45">
      <c r="A26" s="3" t="s">
        <v>724</v>
      </c>
      <c r="B26" s="3" t="s">
        <v>725</v>
      </c>
      <c r="C26" s="3" t="s">
        <v>322</v>
      </c>
      <c r="D26" s="3" t="s">
        <v>311</v>
      </c>
      <c r="E26" s="3" t="s">
        <v>323</v>
      </c>
      <c r="F26" s="3" t="s">
        <v>726</v>
      </c>
      <c r="G26" s="3" t="s">
        <v>314</v>
      </c>
      <c r="H26" s="47"/>
      <c r="I26" s="47"/>
      <c r="J26" s="47"/>
      <c r="K26" s="47"/>
      <c r="L26" s="3" t="s">
        <v>315</v>
      </c>
      <c r="M26" s="3" t="s">
        <v>67</v>
      </c>
      <c r="N26" s="3" t="s">
        <v>17</v>
      </c>
    </row>
    <row r="27" spans="1:14" ht="60">
      <c r="A27" s="3" t="s">
        <v>407</v>
      </c>
      <c r="B27" s="3" t="s">
        <v>392</v>
      </c>
      <c r="C27" s="3" t="s">
        <v>346</v>
      </c>
      <c r="D27" s="3" t="s">
        <v>311</v>
      </c>
      <c r="E27" s="3" t="s">
        <v>323</v>
      </c>
      <c r="F27" s="3" t="s">
        <v>408</v>
      </c>
      <c r="G27" s="3" t="s">
        <v>314</v>
      </c>
      <c r="H27" s="47"/>
      <c r="I27" s="47">
        <v>40</v>
      </c>
      <c r="J27" s="47"/>
      <c r="K27" s="47"/>
      <c r="L27" s="3" t="s">
        <v>315</v>
      </c>
      <c r="M27" s="3" t="s">
        <v>67</v>
      </c>
      <c r="N27" s="3" t="s">
        <v>17</v>
      </c>
    </row>
    <row r="28" spans="1:14" ht="90">
      <c r="A28" s="3" t="s">
        <v>409</v>
      </c>
      <c r="B28" s="3" t="s">
        <v>393</v>
      </c>
      <c r="C28" s="3" t="s">
        <v>346</v>
      </c>
      <c r="D28" s="3" t="s">
        <v>311</v>
      </c>
      <c r="E28" s="3" t="s">
        <v>323</v>
      </c>
      <c r="F28" s="3" t="s">
        <v>388</v>
      </c>
      <c r="G28" s="3" t="s">
        <v>314</v>
      </c>
      <c r="H28" s="47"/>
      <c r="I28" s="47">
        <v>80</v>
      </c>
      <c r="J28" s="47">
        <v>65</v>
      </c>
      <c r="K28" s="47">
        <v>85</v>
      </c>
      <c r="L28" s="3" t="s">
        <v>315</v>
      </c>
      <c r="M28" s="3" t="s">
        <v>67</v>
      </c>
      <c r="N28" s="3" t="s">
        <v>17</v>
      </c>
    </row>
    <row r="29" spans="1:14" ht="60">
      <c r="A29" s="3" t="s">
        <v>344</v>
      </c>
      <c r="B29" s="3" t="s">
        <v>345</v>
      </c>
      <c r="C29" s="3" t="s">
        <v>346</v>
      </c>
      <c r="D29" s="3" t="s">
        <v>311</v>
      </c>
      <c r="E29" s="3" t="s">
        <v>312</v>
      </c>
      <c r="F29" s="3" t="s">
        <v>313</v>
      </c>
      <c r="G29" s="3" t="s">
        <v>314</v>
      </c>
      <c r="H29" s="47">
        <v>3185</v>
      </c>
      <c r="I29" s="47">
        <v>3960</v>
      </c>
      <c r="J29" s="47">
        <v>12250</v>
      </c>
      <c r="K29" s="47">
        <v>65775</v>
      </c>
      <c r="L29" s="3" t="s">
        <v>315</v>
      </c>
      <c r="M29" s="3" t="s">
        <v>67</v>
      </c>
      <c r="N29" s="3" t="s">
        <v>17</v>
      </c>
    </row>
    <row r="30" spans="1:14" ht="75">
      <c r="A30" s="3" t="s">
        <v>347</v>
      </c>
      <c r="B30" s="3" t="s">
        <v>348</v>
      </c>
      <c r="C30" s="3" t="s">
        <v>346</v>
      </c>
      <c r="D30" s="3" t="s">
        <v>311</v>
      </c>
      <c r="E30" s="3" t="s">
        <v>312</v>
      </c>
      <c r="F30" s="3" t="s">
        <v>313</v>
      </c>
      <c r="G30" s="3" t="s">
        <v>314</v>
      </c>
      <c r="H30" s="47">
        <v>3150</v>
      </c>
      <c r="I30" s="47">
        <v>2360</v>
      </c>
      <c r="J30" s="47">
        <v>3025</v>
      </c>
      <c r="K30" s="47">
        <v>2755</v>
      </c>
      <c r="L30" s="3" t="s">
        <v>315</v>
      </c>
      <c r="M30" s="3" t="s">
        <v>67</v>
      </c>
      <c r="N30" s="3" t="s">
        <v>17</v>
      </c>
    </row>
    <row r="31" spans="1:14" ht="45">
      <c r="A31" s="3" t="s">
        <v>410</v>
      </c>
      <c r="B31" s="3" t="s">
        <v>394</v>
      </c>
      <c r="C31" s="3" t="s">
        <v>322</v>
      </c>
      <c r="D31" s="3" t="s">
        <v>311</v>
      </c>
      <c r="E31" s="3" t="s">
        <v>365</v>
      </c>
      <c r="F31" s="3" t="s">
        <v>411</v>
      </c>
      <c r="G31" s="3" t="s">
        <v>314</v>
      </c>
      <c r="H31" s="47"/>
      <c r="I31" s="47">
        <v>310</v>
      </c>
      <c r="J31" s="47">
        <v>178</v>
      </c>
      <c r="K31" s="47">
        <v>215</v>
      </c>
      <c r="L31" s="3" t="s">
        <v>315</v>
      </c>
      <c r="M31" s="3" t="s">
        <v>67</v>
      </c>
      <c r="N31" s="3" t="s">
        <v>17</v>
      </c>
    </row>
    <row r="32" spans="1:14" ht="45">
      <c r="A32" s="3" t="s">
        <v>412</v>
      </c>
      <c r="B32" s="3" t="s">
        <v>395</v>
      </c>
      <c r="C32" s="3" t="s">
        <v>322</v>
      </c>
      <c r="D32" s="3" t="s">
        <v>311</v>
      </c>
      <c r="E32" s="3" t="s">
        <v>323</v>
      </c>
      <c r="F32" s="3" t="s">
        <v>313</v>
      </c>
      <c r="G32" s="3" t="s">
        <v>314</v>
      </c>
      <c r="H32" s="47"/>
      <c r="I32" s="47">
        <v>253</v>
      </c>
      <c r="J32" s="47"/>
      <c r="K32" s="47"/>
      <c r="L32" s="3" t="s">
        <v>315</v>
      </c>
      <c r="M32" s="3" t="s">
        <v>67</v>
      </c>
      <c r="N32" s="3" t="s">
        <v>17</v>
      </c>
    </row>
    <row r="33" spans="1:14" ht="60">
      <c r="A33" s="3" t="s">
        <v>415</v>
      </c>
      <c r="B33" s="3" t="s">
        <v>396</v>
      </c>
      <c r="C33" s="3" t="s">
        <v>322</v>
      </c>
      <c r="D33" s="3" t="s">
        <v>311</v>
      </c>
      <c r="E33" s="3" t="s">
        <v>413</v>
      </c>
      <c r="F33" s="3" t="s">
        <v>414</v>
      </c>
      <c r="G33" s="3" t="s">
        <v>314</v>
      </c>
      <c r="H33" s="47"/>
      <c r="I33" s="47">
        <v>634</v>
      </c>
      <c r="J33" s="47">
        <v>13335</v>
      </c>
      <c r="K33" s="47">
        <v>11220</v>
      </c>
      <c r="L33" s="3" t="s">
        <v>315</v>
      </c>
      <c r="M33" s="3" t="s">
        <v>67</v>
      </c>
      <c r="N33" s="3" t="s">
        <v>17</v>
      </c>
    </row>
    <row r="34" spans="1:14" ht="45">
      <c r="A34" s="3" t="s">
        <v>416</v>
      </c>
      <c r="B34" s="3" t="s">
        <v>397</v>
      </c>
      <c r="C34" s="3" t="s">
        <v>322</v>
      </c>
      <c r="D34" s="3" t="s">
        <v>311</v>
      </c>
      <c r="E34" s="3" t="s">
        <v>417</v>
      </c>
      <c r="F34" s="3" t="s">
        <v>313</v>
      </c>
      <c r="G34" s="3" t="s">
        <v>314</v>
      </c>
      <c r="H34" s="47"/>
      <c r="I34" s="47">
        <v>19</v>
      </c>
      <c r="J34" s="47"/>
      <c r="K34" s="47"/>
      <c r="L34" s="3" t="s">
        <v>315</v>
      </c>
      <c r="M34" s="3" t="s">
        <v>67</v>
      </c>
      <c r="N34" s="3" t="s">
        <v>17</v>
      </c>
    </row>
    <row r="35" spans="1:14" ht="60">
      <c r="A35" s="3" t="s">
        <v>418</v>
      </c>
      <c r="B35" s="3" t="s">
        <v>402</v>
      </c>
      <c r="C35" s="3" t="s">
        <v>350</v>
      </c>
      <c r="D35" s="3" t="s">
        <v>311</v>
      </c>
      <c r="E35" s="3" t="s">
        <v>323</v>
      </c>
      <c r="F35" s="3" t="s">
        <v>313</v>
      </c>
      <c r="G35" s="3" t="s">
        <v>314</v>
      </c>
      <c r="H35" s="47"/>
      <c r="I35" s="47"/>
      <c r="J35" s="47">
        <v>35</v>
      </c>
      <c r="K35" s="47"/>
      <c r="L35" s="3" t="s">
        <v>315</v>
      </c>
      <c r="M35" s="3" t="s">
        <v>67</v>
      </c>
      <c r="N35" s="3" t="s">
        <v>17</v>
      </c>
    </row>
    <row r="36" spans="1:14" ht="30">
      <c r="A36" s="3" t="s">
        <v>419</v>
      </c>
      <c r="B36" s="3" t="s">
        <v>399</v>
      </c>
      <c r="C36" s="3" t="s">
        <v>350</v>
      </c>
      <c r="D36" s="3" t="s">
        <v>311</v>
      </c>
      <c r="E36" s="3" t="s">
        <v>323</v>
      </c>
      <c r="F36" s="3" t="s">
        <v>420</v>
      </c>
      <c r="G36" s="3" t="s">
        <v>314</v>
      </c>
      <c r="H36" s="47"/>
      <c r="I36" s="47">
        <v>250</v>
      </c>
      <c r="J36" s="47">
        <v>270</v>
      </c>
      <c r="K36" s="47">
        <v>1320</v>
      </c>
      <c r="L36" s="3" t="s">
        <v>315</v>
      </c>
      <c r="M36" s="3" t="s">
        <v>67</v>
      </c>
      <c r="N36" s="3" t="s">
        <v>17</v>
      </c>
    </row>
    <row r="37" spans="1:14" ht="30">
      <c r="A37" s="3" t="s">
        <v>398</v>
      </c>
      <c r="B37" s="3" t="s">
        <v>349</v>
      </c>
      <c r="C37" s="3" t="s">
        <v>350</v>
      </c>
      <c r="D37" s="3" t="s">
        <v>311</v>
      </c>
      <c r="E37" s="3" t="s">
        <v>323</v>
      </c>
      <c r="F37" s="3" t="s">
        <v>385</v>
      </c>
      <c r="G37" s="3" t="s">
        <v>314</v>
      </c>
      <c r="H37" s="47">
        <v>2</v>
      </c>
      <c r="I37" s="47"/>
      <c r="J37" s="47"/>
      <c r="K37" s="47"/>
      <c r="L37" s="3" t="s">
        <v>315</v>
      </c>
      <c r="M37" s="3" t="s">
        <v>67</v>
      </c>
      <c r="N37" s="3" t="s">
        <v>17</v>
      </c>
    </row>
    <row r="38" spans="1:14" ht="30">
      <c r="A38" s="3" t="s">
        <v>351</v>
      </c>
      <c r="B38" s="3" t="s">
        <v>352</v>
      </c>
      <c r="C38" s="3" t="s">
        <v>350</v>
      </c>
      <c r="D38" s="3" t="s">
        <v>311</v>
      </c>
      <c r="E38" s="3" t="s">
        <v>312</v>
      </c>
      <c r="F38" s="3" t="s">
        <v>313</v>
      </c>
      <c r="G38" s="3" t="s">
        <v>314</v>
      </c>
      <c r="H38" s="47">
        <v>30</v>
      </c>
      <c r="I38" s="47"/>
      <c r="J38" s="47"/>
      <c r="K38" s="47"/>
      <c r="L38" s="3" t="s">
        <v>315</v>
      </c>
      <c r="M38" s="3" t="s">
        <v>67</v>
      </c>
      <c r="N38" s="3" t="s">
        <v>17</v>
      </c>
    </row>
    <row r="39" spans="1:14" ht="30">
      <c r="A39" s="3" t="s">
        <v>353</v>
      </c>
      <c r="B39" s="3" t="s">
        <v>354</v>
      </c>
      <c r="C39" s="3" t="s">
        <v>350</v>
      </c>
      <c r="D39" s="3" t="s">
        <v>311</v>
      </c>
      <c r="E39" s="3" t="s">
        <v>312</v>
      </c>
      <c r="F39" s="3" t="s">
        <v>313</v>
      </c>
      <c r="G39" s="3" t="s">
        <v>314</v>
      </c>
      <c r="H39" s="47">
        <v>7</v>
      </c>
      <c r="I39" s="47"/>
      <c r="J39" s="47"/>
      <c r="K39" s="47"/>
      <c r="L39" s="3" t="s">
        <v>315</v>
      </c>
      <c r="M39" s="3" t="s">
        <v>67</v>
      </c>
      <c r="N39" s="3" t="s">
        <v>17</v>
      </c>
    </row>
    <row r="40" spans="1:14" ht="45">
      <c r="A40" s="3" t="s">
        <v>421</v>
      </c>
      <c r="B40" s="3" t="s">
        <v>400</v>
      </c>
      <c r="C40" s="3" t="s">
        <v>318</v>
      </c>
      <c r="D40" s="3" t="s">
        <v>311</v>
      </c>
      <c r="E40" s="3" t="s">
        <v>404</v>
      </c>
      <c r="F40" s="3" t="s">
        <v>384</v>
      </c>
      <c r="G40" s="3" t="s">
        <v>314</v>
      </c>
      <c r="H40" s="47"/>
      <c r="I40" s="47">
        <v>15</v>
      </c>
      <c r="J40" s="47">
        <v>2410</v>
      </c>
      <c r="K40" s="57"/>
      <c r="L40" s="3" t="s">
        <v>315</v>
      </c>
      <c r="M40" s="3" t="s">
        <v>67</v>
      </c>
      <c r="N40" s="3" t="s">
        <v>17</v>
      </c>
    </row>
    <row r="41" spans="1:14" ht="45">
      <c r="A41" s="3" t="s">
        <v>727</v>
      </c>
      <c r="B41" s="3" t="s">
        <v>728</v>
      </c>
      <c r="C41" s="3" t="s">
        <v>318</v>
      </c>
      <c r="D41" s="3" t="s">
        <v>311</v>
      </c>
      <c r="E41" s="3" t="s">
        <v>404</v>
      </c>
      <c r="F41" s="3" t="s">
        <v>313</v>
      </c>
      <c r="G41" s="3" t="s">
        <v>314</v>
      </c>
      <c r="I41" s="47"/>
      <c r="J41" s="47"/>
      <c r="K41" s="47"/>
      <c r="L41" s="3" t="s">
        <v>315</v>
      </c>
      <c r="M41" s="3" t="s">
        <v>67</v>
      </c>
      <c r="N41" s="3" t="s">
        <v>17</v>
      </c>
    </row>
    <row r="42" spans="1:14" ht="30">
      <c r="A42" s="3" t="s">
        <v>355</v>
      </c>
      <c r="B42" s="3" t="s">
        <v>356</v>
      </c>
      <c r="C42" s="3" t="s">
        <v>350</v>
      </c>
      <c r="D42" s="3" t="s">
        <v>311</v>
      </c>
      <c r="E42" s="3" t="s">
        <v>312</v>
      </c>
      <c r="F42" s="3" t="s">
        <v>313</v>
      </c>
      <c r="G42" s="3" t="s">
        <v>314</v>
      </c>
      <c r="H42" s="47">
        <v>330</v>
      </c>
      <c r="I42" s="47">
        <v>265</v>
      </c>
      <c r="J42" s="47">
        <v>160</v>
      </c>
      <c r="K42" s="47">
        <v>545</v>
      </c>
      <c r="L42" s="3" t="s">
        <v>315</v>
      </c>
      <c r="M42" s="3" t="s">
        <v>67</v>
      </c>
      <c r="N42" s="3" t="s">
        <v>17</v>
      </c>
    </row>
    <row r="43" spans="1:14" ht="60">
      <c r="A43" s="3" t="s">
        <v>357</v>
      </c>
      <c r="B43" s="3" t="s">
        <v>358</v>
      </c>
      <c r="C43" s="3" t="s">
        <v>350</v>
      </c>
      <c r="D43" s="3" t="s">
        <v>311</v>
      </c>
      <c r="E43" s="3" t="s">
        <v>359</v>
      </c>
      <c r="F43" s="3" t="s">
        <v>386</v>
      </c>
      <c r="G43" s="3" t="s">
        <v>314</v>
      </c>
      <c r="H43" s="47">
        <v>200</v>
      </c>
      <c r="I43" s="47"/>
      <c r="J43" s="47"/>
      <c r="K43" s="47"/>
      <c r="L43" s="3" t="s">
        <v>315</v>
      </c>
      <c r="M43" s="3" t="s">
        <v>67</v>
      </c>
      <c r="N43" s="3" t="s">
        <v>17</v>
      </c>
    </row>
    <row r="44" spans="1:14" ht="30">
      <c r="A44" s="3" t="s">
        <v>729</v>
      </c>
      <c r="B44" s="3" t="s">
        <v>730</v>
      </c>
      <c r="C44" s="3" t="s">
        <v>346</v>
      </c>
      <c r="D44" s="3" t="s">
        <v>311</v>
      </c>
      <c r="E44" s="3" t="s">
        <v>323</v>
      </c>
      <c r="F44" s="3" t="s">
        <v>313</v>
      </c>
      <c r="G44" s="3" t="s">
        <v>314</v>
      </c>
      <c r="I44" s="47"/>
      <c r="J44" s="47"/>
      <c r="K44" s="47"/>
      <c r="L44" s="3" t="s">
        <v>315</v>
      </c>
      <c r="M44" s="3" t="s">
        <v>67</v>
      </c>
      <c r="N44" s="3" t="s">
        <v>17</v>
      </c>
    </row>
    <row r="45" spans="1:14" ht="30">
      <c r="A45" s="3" t="s">
        <v>360</v>
      </c>
      <c r="B45" s="3" t="s">
        <v>361</v>
      </c>
      <c r="C45" s="3" t="s">
        <v>310</v>
      </c>
      <c r="D45" s="3" t="s">
        <v>311</v>
      </c>
      <c r="E45" s="3" t="s">
        <v>312</v>
      </c>
      <c r="F45" s="3" t="s">
        <v>313</v>
      </c>
      <c r="G45" s="3" t="s">
        <v>314</v>
      </c>
      <c r="H45" s="47">
        <v>23020</v>
      </c>
      <c r="I45" s="47">
        <v>11368</v>
      </c>
      <c r="J45" s="47">
        <v>18460</v>
      </c>
      <c r="K45" s="47">
        <v>13070</v>
      </c>
      <c r="L45" s="3" t="s">
        <v>315</v>
      </c>
      <c r="M45" s="3" t="s">
        <v>67</v>
      </c>
      <c r="N45" s="3" t="s">
        <v>17</v>
      </c>
    </row>
    <row r="46" spans="1:14" ht="45">
      <c r="A46" s="3" t="s">
        <v>362</v>
      </c>
      <c r="B46" s="3" t="s">
        <v>363</v>
      </c>
      <c r="C46" s="3" t="s">
        <v>339</v>
      </c>
      <c r="D46" s="3" t="s">
        <v>311</v>
      </c>
      <c r="E46" s="3" t="s">
        <v>312</v>
      </c>
      <c r="F46" s="3" t="s">
        <v>313</v>
      </c>
      <c r="G46" s="3" t="s">
        <v>314</v>
      </c>
      <c r="H46" s="47">
        <v>306</v>
      </c>
      <c r="I46" s="47">
        <v>654</v>
      </c>
      <c r="J46" s="47">
        <v>483</v>
      </c>
      <c r="K46" s="47">
        <v>965</v>
      </c>
      <c r="L46" s="3" t="s">
        <v>315</v>
      </c>
      <c r="M46" s="3" t="s">
        <v>67</v>
      </c>
      <c r="N46" s="3" t="s">
        <v>17</v>
      </c>
    </row>
    <row r="47" spans="1:14" ht="60">
      <c r="A47" s="3" t="s">
        <v>753</v>
      </c>
      <c r="B47" s="3" t="s">
        <v>364</v>
      </c>
      <c r="C47" s="3" t="s">
        <v>339</v>
      </c>
      <c r="D47" s="3" t="s">
        <v>311</v>
      </c>
      <c r="E47" s="3" t="s">
        <v>365</v>
      </c>
      <c r="F47" s="3" t="s">
        <v>387</v>
      </c>
      <c r="G47" s="3" t="s">
        <v>314</v>
      </c>
      <c r="H47" s="47">
        <v>2235</v>
      </c>
      <c r="I47" s="47">
        <v>355</v>
      </c>
      <c r="J47" s="47">
        <v>1045</v>
      </c>
      <c r="K47" s="47">
        <v>491</v>
      </c>
      <c r="L47" s="3" t="s">
        <v>315</v>
      </c>
      <c r="M47" s="3" t="s">
        <v>67</v>
      </c>
      <c r="N47" s="3" t="s">
        <v>17</v>
      </c>
    </row>
    <row r="48" spans="1:14" ht="105">
      <c r="A48" s="3" t="s">
        <v>366</v>
      </c>
      <c r="B48" s="3" t="s">
        <v>367</v>
      </c>
      <c r="C48" s="3" t="s">
        <v>339</v>
      </c>
      <c r="D48" s="3" t="s">
        <v>311</v>
      </c>
      <c r="E48" s="3" t="s">
        <v>312</v>
      </c>
      <c r="F48" s="3" t="s">
        <v>313</v>
      </c>
      <c r="G48" s="3" t="s">
        <v>314</v>
      </c>
      <c r="H48" s="47">
        <v>150</v>
      </c>
      <c r="I48" s="47">
        <v>402</v>
      </c>
      <c r="J48" s="47">
        <v>810</v>
      </c>
      <c r="K48" s="47">
        <v>260</v>
      </c>
      <c r="L48" s="3" t="s">
        <v>315</v>
      </c>
      <c r="M48" s="3" t="s">
        <v>67</v>
      </c>
      <c r="N48" s="3" t="s">
        <v>17</v>
      </c>
    </row>
    <row r="49" spans="1:14" ht="45">
      <c r="A49" s="3" t="s">
        <v>368</v>
      </c>
      <c r="B49" s="3" t="s">
        <v>369</v>
      </c>
      <c r="C49" s="3" t="s">
        <v>339</v>
      </c>
      <c r="D49" s="3" t="s">
        <v>311</v>
      </c>
      <c r="E49" s="3" t="s">
        <v>323</v>
      </c>
      <c r="F49" s="3" t="s">
        <v>388</v>
      </c>
      <c r="G49" s="3" t="s">
        <v>314</v>
      </c>
      <c r="H49" s="96">
        <v>123</v>
      </c>
      <c r="I49" s="47">
        <v>135</v>
      </c>
      <c r="J49" s="47">
        <v>150</v>
      </c>
      <c r="K49" s="47">
        <v>160</v>
      </c>
      <c r="L49" s="3" t="s">
        <v>315</v>
      </c>
      <c r="M49" s="3" t="s">
        <v>67</v>
      </c>
      <c r="N49" s="3" t="s">
        <v>17</v>
      </c>
    </row>
    <row r="50" spans="1:14">
      <c r="H50" s="57">
        <v>180814</v>
      </c>
      <c r="I50" s="57">
        <v>191004</v>
      </c>
      <c r="J50" s="57">
        <v>198351</v>
      </c>
      <c r="K50" s="57">
        <v>390905</v>
      </c>
    </row>
  </sheetData>
  <autoFilter ref="A1:N50" xr:uid="{00000000-0009-0000-0000-000012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autoFilter>
  <mergeCells count="2">
    <mergeCell ref="A1:N1"/>
    <mergeCell ref="B2:N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I5"/>
  <sheetViews>
    <sheetView workbookViewId="0">
      <pane ySplit="4" topLeftCell="A5" activePane="bottomLeft" state="frozen"/>
      <selection pane="bottomLeft" activeCell="B3" sqref="B3:I3"/>
    </sheetView>
  </sheetViews>
  <sheetFormatPr defaultColWidth="9.140625" defaultRowHeight="15"/>
  <cols>
    <col min="1" max="9" width="20.7109375" style="1" customWidth="1"/>
    <col min="10" max="16384" width="9.140625" style="1"/>
  </cols>
  <sheetData>
    <row r="1" spans="1:9" ht="18.75" customHeight="1">
      <c r="A1" s="116" t="s">
        <v>81</v>
      </c>
      <c r="B1" s="117"/>
      <c r="C1" s="117"/>
      <c r="D1" s="117"/>
      <c r="E1" s="117"/>
      <c r="F1" s="117"/>
      <c r="G1" s="117"/>
      <c r="H1" s="117"/>
      <c r="I1" s="117"/>
    </row>
    <row r="2" spans="1:9" ht="18.75">
      <c r="A2" s="119" t="s">
        <v>82</v>
      </c>
      <c r="B2" s="120"/>
      <c r="C2" s="120"/>
      <c r="D2" s="120"/>
      <c r="E2" s="120"/>
      <c r="F2" s="120"/>
      <c r="G2" s="120"/>
      <c r="H2" s="120"/>
      <c r="I2" s="120"/>
    </row>
    <row r="3" spans="1:9" ht="18.75" customHeight="1">
      <c r="A3" s="27" t="s">
        <v>45</v>
      </c>
      <c r="B3" s="115" t="s">
        <v>46</v>
      </c>
      <c r="C3" s="115"/>
      <c r="D3" s="115"/>
      <c r="E3" s="115"/>
      <c r="F3" s="115"/>
      <c r="G3" s="115"/>
      <c r="H3" s="115"/>
      <c r="I3" s="115"/>
    </row>
    <row r="4" spans="1:9" ht="45">
      <c r="A4" s="28" t="s">
        <v>47</v>
      </c>
      <c r="B4" s="28" t="s">
        <v>48</v>
      </c>
      <c r="C4" s="28" t="s">
        <v>3</v>
      </c>
      <c r="D4" s="28" t="s">
        <v>53</v>
      </c>
      <c r="E4" s="28" t="s">
        <v>49</v>
      </c>
      <c r="F4" s="28" t="s">
        <v>69</v>
      </c>
      <c r="G4" s="28" t="s">
        <v>50</v>
      </c>
      <c r="H4" s="28" t="s">
        <v>51</v>
      </c>
      <c r="I4" s="28" t="s">
        <v>8</v>
      </c>
    </row>
    <row r="5" spans="1:9">
      <c r="A5" s="122" t="s">
        <v>52</v>
      </c>
      <c r="B5" s="122"/>
      <c r="C5" s="122"/>
      <c r="D5" s="122"/>
      <c r="E5" s="122"/>
      <c r="F5" s="122"/>
      <c r="G5" s="122"/>
      <c r="H5" s="122"/>
      <c r="I5" s="122"/>
    </row>
  </sheetData>
  <mergeCells count="4">
    <mergeCell ref="B3:I3"/>
    <mergeCell ref="A5:I5"/>
    <mergeCell ref="A1:I1"/>
    <mergeCell ref="A2:I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6" tint="0.59999389629810485"/>
  </sheetPr>
  <dimension ref="A1:G5"/>
  <sheetViews>
    <sheetView workbookViewId="0">
      <pane ySplit="3" topLeftCell="A4" activePane="bottomLeft" state="frozen"/>
      <selection pane="bottomLeft" activeCell="B2" sqref="B2:G2"/>
    </sheetView>
  </sheetViews>
  <sheetFormatPr defaultRowHeight="15"/>
  <cols>
    <col min="1" max="7" width="20.7109375" style="1" customWidth="1"/>
  </cols>
  <sheetData>
    <row r="1" spans="1:7" s="1" customFormat="1" ht="18.75" customHeight="1">
      <c r="A1" s="184" t="s">
        <v>370</v>
      </c>
      <c r="B1" s="184"/>
      <c r="C1" s="184"/>
      <c r="D1" s="184"/>
      <c r="E1" s="184"/>
      <c r="F1" s="184"/>
      <c r="G1" s="184"/>
    </row>
    <row r="2" spans="1:7" s="18" customFormat="1" ht="18.75" customHeight="1">
      <c r="A2" s="13" t="s">
        <v>376</v>
      </c>
      <c r="B2" s="184" t="s">
        <v>372</v>
      </c>
      <c r="C2" s="184"/>
      <c r="D2" s="184"/>
      <c r="E2" s="184"/>
      <c r="F2" s="184"/>
      <c r="G2" s="184"/>
    </row>
    <row r="3" spans="1:7" ht="30">
      <c r="A3" s="14" t="s">
        <v>235</v>
      </c>
      <c r="B3" s="14" t="s">
        <v>373</v>
      </c>
      <c r="C3" s="14" t="s">
        <v>236</v>
      </c>
      <c r="D3" s="14" t="s">
        <v>97</v>
      </c>
      <c r="E3" s="14" t="s">
        <v>374</v>
      </c>
      <c r="F3" s="14" t="s">
        <v>7</v>
      </c>
      <c r="G3" s="14" t="s">
        <v>8</v>
      </c>
    </row>
    <row r="4" spans="1:7" ht="75" customHeight="1">
      <c r="A4" s="3" t="s">
        <v>617</v>
      </c>
      <c r="B4" s="159" t="s">
        <v>635</v>
      </c>
      <c r="C4" s="160"/>
      <c r="D4" s="160"/>
      <c r="E4" s="160"/>
      <c r="F4" s="160"/>
      <c r="G4" s="161"/>
    </row>
    <row r="5" spans="1:7" ht="75" customHeight="1">
      <c r="A5" s="3" t="s">
        <v>618</v>
      </c>
      <c r="B5" s="159" t="s">
        <v>635</v>
      </c>
      <c r="C5" s="160"/>
      <c r="D5" s="160"/>
      <c r="E5" s="160"/>
      <c r="F5" s="160"/>
      <c r="G5" s="161"/>
    </row>
  </sheetData>
  <mergeCells count="4">
    <mergeCell ref="A1:G1"/>
    <mergeCell ref="B2:G2"/>
    <mergeCell ref="B4:G4"/>
    <mergeCell ref="B5:G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6" tint="0.59999389629810485"/>
  </sheetPr>
  <dimension ref="A1:G4"/>
  <sheetViews>
    <sheetView workbookViewId="0">
      <pane ySplit="3" topLeftCell="A4" activePane="bottomLeft" state="frozen"/>
      <selection pane="bottomLeft" activeCell="B2" sqref="B2:G2"/>
    </sheetView>
  </sheetViews>
  <sheetFormatPr defaultRowHeight="15"/>
  <cols>
    <col min="1" max="7" width="20.7109375" style="1" customWidth="1"/>
  </cols>
  <sheetData>
    <row r="1" spans="1:7" s="1" customFormat="1" ht="18.75" customHeight="1">
      <c r="A1" s="184" t="s">
        <v>370</v>
      </c>
      <c r="B1" s="184"/>
      <c r="C1" s="184"/>
      <c r="D1" s="184"/>
      <c r="E1" s="184"/>
      <c r="F1" s="184"/>
      <c r="G1" s="184"/>
    </row>
    <row r="2" spans="1:7" s="18" customFormat="1" ht="18.75" customHeight="1">
      <c r="A2" s="13" t="s">
        <v>377</v>
      </c>
      <c r="B2" s="184" t="s">
        <v>375</v>
      </c>
      <c r="C2" s="184"/>
      <c r="D2" s="184"/>
      <c r="E2" s="184"/>
      <c r="F2" s="184"/>
      <c r="G2" s="184"/>
    </row>
    <row r="3" spans="1:7" ht="30">
      <c r="A3" s="14" t="s">
        <v>235</v>
      </c>
      <c r="B3" s="14" t="s">
        <v>373</v>
      </c>
      <c r="C3" s="14" t="s">
        <v>236</v>
      </c>
      <c r="D3" s="14" t="s">
        <v>97</v>
      </c>
      <c r="E3" s="14" t="s">
        <v>374</v>
      </c>
      <c r="F3" s="14" t="s">
        <v>7</v>
      </c>
      <c r="G3" s="14" t="s">
        <v>8</v>
      </c>
    </row>
    <row r="4" spans="1:7" ht="96.75" customHeight="1">
      <c r="A4" s="159" t="s">
        <v>820</v>
      </c>
      <c r="B4" s="160"/>
      <c r="C4" s="160"/>
      <c r="D4" s="160"/>
      <c r="E4" s="160"/>
      <c r="F4" s="160"/>
      <c r="G4" s="161"/>
    </row>
  </sheetData>
  <mergeCells count="3">
    <mergeCell ref="A1:G1"/>
    <mergeCell ref="B2:G2"/>
    <mergeCell ref="A4:G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6" tint="0.59999389629810485"/>
  </sheetPr>
  <dimension ref="A1:L8"/>
  <sheetViews>
    <sheetView workbookViewId="0">
      <pane ySplit="4" topLeftCell="A5" activePane="bottomLeft" state="frozen"/>
      <selection pane="bottomLeft" activeCell="B2" sqref="B2:L2"/>
    </sheetView>
  </sheetViews>
  <sheetFormatPr defaultRowHeight="15"/>
  <cols>
    <col min="1" max="1" width="20.7109375" style="1" customWidth="1"/>
    <col min="2" max="5" width="15.85546875" style="1" customWidth="1"/>
    <col min="6" max="6" width="23" style="1" customWidth="1"/>
    <col min="7" max="10" width="15.85546875" style="1" customWidth="1"/>
    <col min="11" max="12" width="16.28515625" customWidth="1"/>
  </cols>
  <sheetData>
    <row r="1" spans="1:12" s="1" customFormat="1" ht="18.75" customHeight="1">
      <c r="A1" s="184" t="s">
        <v>370</v>
      </c>
      <c r="B1" s="184"/>
      <c r="C1" s="184"/>
      <c r="D1" s="184"/>
      <c r="E1" s="184"/>
      <c r="F1" s="184"/>
      <c r="G1" s="184"/>
      <c r="H1" s="184"/>
      <c r="I1" s="184"/>
      <c r="J1" s="184"/>
      <c r="K1" s="184"/>
      <c r="L1" s="184"/>
    </row>
    <row r="2" spans="1:12" s="18" customFormat="1" ht="18.75" customHeight="1">
      <c r="A2" s="13" t="s">
        <v>470</v>
      </c>
      <c r="B2" s="184" t="s">
        <v>469</v>
      </c>
      <c r="C2" s="184"/>
      <c r="D2" s="184"/>
      <c r="E2" s="184"/>
      <c r="F2" s="184"/>
      <c r="G2" s="184"/>
      <c r="H2" s="184"/>
      <c r="I2" s="184"/>
      <c r="J2" s="184"/>
      <c r="K2" s="184"/>
      <c r="L2" s="184"/>
    </row>
    <row r="3" spans="1:12" s="18" customFormat="1">
      <c r="A3" s="14" t="s">
        <v>471</v>
      </c>
      <c r="B3" s="185" t="s">
        <v>475</v>
      </c>
      <c r="C3" s="185"/>
      <c r="D3" s="185"/>
      <c r="E3" s="185" t="s">
        <v>476</v>
      </c>
      <c r="F3" s="185"/>
      <c r="G3" s="185"/>
      <c r="H3" s="185" t="s">
        <v>477</v>
      </c>
      <c r="I3" s="185"/>
      <c r="J3" s="185"/>
      <c r="K3" s="185" t="s">
        <v>208</v>
      </c>
      <c r="L3" s="185" t="s">
        <v>609</v>
      </c>
    </row>
    <row r="4" spans="1:12" ht="45">
      <c r="A4" s="14" t="s">
        <v>472</v>
      </c>
      <c r="B4" s="14" t="s">
        <v>473</v>
      </c>
      <c r="C4" s="14" t="s">
        <v>474</v>
      </c>
      <c r="D4" s="14" t="s">
        <v>8</v>
      </c>
      <c r="E4" s="14" t="s">
        <v>473</v>
      </c>
      <c r="F4" s="14" t="s">
        <v>474</v>
      </c>
      <c r="G4" s="14" t="s">
        <v>8</v>
      </c>
      <c r="H4" s="14" t="s">
        <v>473</v>
      </c>
      <c r="I4" s="14" t="s">
        <v>474</v>
      </c>
      <c r="J4" s="14" t="s">
        <v>8</v>
      </c>
      <c r="K4" s="185"/>
      <c r="L4" s="185"/>
    </row>
    <row r="5" spans="1:12" ht="90">
      <c r="A5" s="3" t="s">
        <v>611</v>
      </c>
      <c r="B5" s="3"/>
      <c r="C5" s="33"/>
      <c r="D5" s="3"/>
      <c r="E5" s="3" t="s">
        <v>606</v>
      </c>
      <c r="F5" s="3" t="s">
        <v>607</v>
      </c>
      <c r="G5" s="3" t="s">
        <v>608</v>
      </c>
      <c r="H5" s="3"/>
      <c r="I5" s="3"/>
      <c r="J5" s="3"/>
      <c r="K5" s="3" t="s">
        <v>213</v>
      </c>
      <c r="L5" s="89" t="s">
        <v>237</v>
      </c>
    </row>
    <row r="6" spans="1:12" ht="90">
      <c r="A6" s="3" t="s">
        <v>610</v>
      </c>
      <c r="B6" s="3"/>
      <c r="C6" s="33"/>
      <c r="D6" s="3"/>
      <c r="E6" s="3" t="s">
        <v>606</v>
      </c>
      <c r="F6" s="3" t="s">
        <v>612</v>
      </c>
      <c r="G6" s="3" t="s">
        <v>608</v>
      </c>
      <c r="H6" s="3"/>
      <c r="I6" s="3"/>
      <c r="J6" s="3"/>
      <c r="K6" s="3" t="s">
        <v>213</v>
      </c>
      <c r="L6" s="89" t="s">
        <v>237</v>
      </c>
    </row>
    <row r="7" spans="1:12" ht="90">
      <c r="A7" s="3" t="s">
        <v>613</v>
      </c>
      <c r="B7" s="3"/>
      <c r="C7" s="33"/>
      <c r="D7" s="3"/>
      <c r="E7" s="3" t="s">
        <v>606</v>
      </c>
      <c r="F7" s="3" t="s">
        <v>614</v>
      </c>
      <c r="G7" s="3" t="s">
        <v>608</v>
      </c>
      <c r="H7" s="3"/>
      <c r="I7" s="3"/>
      <c r="J7" s="3"/>
      <c r="K7" s="3" t="s">
        <v>213</v>
      </c>
      <c r="L7" s="89" t="s">
        <v>237</v>
      </c>
    </row>
    <row r="8" spans="1:12" ht="90">
      <c r="A8" s="3" t="s">
        <v>615</v>
      </c>
      <c r="B8" s="3"/>
      <c r="C8" s="33"/>
      <c r="D8" s="3"/>
      <c r="E8" s="3" t="s">
        <v>606</v>
      </c>
      <c r="F8" s="3" t="s">
        <v>616</v>
      </c>
      <c r="G8" s="3" t="s">
        <v>608</v>
      </c>
      <c r="H8" s="3"/>
      <c r="I8" s="3"/>
      <c r="J8" s="3"/>
      <c r="K8" s="3" t="s">
        <v>213</v>
      </c>
      <c r="L8" s="89" t="s">
        <v>237</v>
      </c>
    </row>
  </sheetData>
  <mergeCells count="7">
    <mergeCell ref="L3:L4"/>
    <mergeCell ref="A1:L1"/>
    <mergeCell ref="B2:L2"/>
    <mergeCell ref="B3:D3"/>
    <mergeCell ref="E3:G3"/>
    <mergeCell ref="H3:J3"/>
    <mergeCell ref="K3:K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6" tint="0.59999389629810485"/>
  </sheetPr>
  <dimension ref="A1:E5"/>
  <sheetViews>
    <sheetView workbookViewId="0">
      <pane ySplit="3" topLeftCell="A4" activePane="bottomLeft" state="frozen"/>
      <selection pane="bottomLeft" activeCell="B2" sqref="B2:E2"/>
    </sheetView>
  </sheetViews>
  <sheetFormatPr defaultRowHeight="15"/>
  <cols>
    <col min="1" max="4" width="20.7109375" style="1" customWidth="1"/>
    <col min="5" max="5" width="27.28515625" style="1" customWidth="1"/>
  </cols>
  <sheetData>
    <row r="1" spans="1:5" s="1" customFormat="1" ht="18.75" customHeight="1">
      <c r="A1" s="181" t="s">
        <v>370</v>
      </c>
      <c r="B1" s="182"/>
      <c r="C1" s="182"/>
      <c r="D1" s="182"/>
      <c r="E1" s="183"/>
    </row>
    <row r="2" spans="1:5" s="18" customFormat="1" ht="18.75" customHeight="1">
      <c r="A2" s="13" t="s">
        <v>479</v>
      </c>
      <c r="B2" s="181" t="s">
        <v>480</v>
      </c>
      <c r="C2" s="182"/>
      <c r="D2" s="182"/>
      <c r="E2" s="183"/>
    </row>
    <row r="3" spans="1:5" ht="75">
      <c r="A3" s="14" t="s">
        <v>472</v>
      </c>
      <c r="B3" s="14" t="s">
        <v>481</v>
      </c>
      <c r="C3" s="14" t="s">
        <v>482</v>
      </c>
      <c r="D3" s="14" t="s">
        <v>483</v>
      </c>
      <c r="E3" s="14" t="s">
        <v>484</v>
      </c>
    </row>
    <row r="4" spans="1:5" ht="60.75" customHeight="1">
      <c r="A4" s="3" t="s">
        <v>619</v>
      </c>
      <c r="B4" s="3" t="s">
        <v>620</v>
      </c>
      <c r="C4" s="33"/>
      <c r="D4" s="3" t="s">
        <v>755</v>
      </c>
      <c r="E4" s="3" t="s">
        <v>756</v>
      </c>
    </row>
    <row r="5" spans="1:5" ht="60.75" customHeight="1">
      <c r="A5" s="3" t="s">
        <v>621</v>
      </c>
      <c r="B5" s="3" t="s">
        <v>138</v>
      </c>
      <c r="C5" s="33"/>
      <c r="D5" s="3" t="s">
        <v>755</v>
      </c>
      <c r="E5" s="3" t="s">
        <v>757</v>
      </c>
    </row>
  </sheetData>
  <mergeCells count="2">
    <mergeCell ref="A1:E1"/>
    <mergeCell ref="B2:E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59999389629810485"/>
  </sheetPr>
  <dimension ref="A1:D4"/>
  <sheetViews>
    <sheetView workbookViewId="0">
      <pane ySplit="3" topLeftCell="A4" activePane="bottomLeft" state="frozen"/>
      <selection pane="bottomLeft" activeCell="B2" sqref="B2:D2"/>
    </sheetView>
  </sheetViews>
  <sheetFormatPr defaultRowHeight="15"/>
  <cols>
    <col min="1" max="4" width="49.28515625" style="1" customWidth="1"/>
  </cols>
  <sheetData>
    <row r="1" spans="1:4" s="1" customFormat="1" ht="18.75" customHeight="1">
      <c r="A1" s="186" t="s">
        <v>485</v>
      </c>
      <c r="B1" s="187"/>
      <c r="C1" s="187"/>
      <c r="D1" s="187"/>
    </row>
    <row r="2" spans="1:4" s="18" customFormat="1" ht="18.75" customHeight="1">
      <c r="A2" s="72" t="s">
        <v>486</v>
      </c>
      <c r="B2" s="186" t="s">
        <v>487</v>
      </c>
      <c r="C2" s="187"/>
      <c r="D2" s="187"/>
    </row>
    <row r="3" spans="1:4">
      <c r="A3" s="26" t="s">
        <v>488</v>
      </c>
      <c r="B3" s="26" t="s">
        <v>489</v>
      </c>
      <c r="C3" s="26" t="s">
        <v>490</v>
      </c>
      <c r="D3" s="26" t="s">
        <v>491</v>
      </c>
    </row>
    <row r="4" spans="1:4" ht="60.75" customHeight="1">
      <c r="A4" s="159" t="s">
        <v>561</v>
      </c>
      <c r="B4" s="160"/>
      <c r="C4" s="160"/>
      <c r="D4" s="161"/>
    </row>
  </sheetData>
  <mergeCells count="3">
    <mergeCell ref="A1:D1"/>
    <mergeCell ref="B2:D2"/>
    <mergeCell ref="A4:D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59999389629810485"/>
  </sheetPr>
  <dimension ref="A1:H4"/>
  <sheetViews>
    <sheetView workbookViewId="0">
      <pane ySplit="3" topLeftCell="A4" activePane="bottomLeft" state="frozen"/>
      <selection pane="bottomLeft" activeCell="A5" sqref="A5"/>
    </sheetView>
  </sheetViews>
  <sheetFormatPr defaultRowHeight="15"/>
  <cols>
    <col min="1" max="8" width="20.7109375" style="1" customWidth="1"/>
  </cols>
  <sheetData>
    <row r="1" spans="1:8" s="1" customFormat="1" ht="18.75" customHeight="1">
      <c r="A1" s="186" t="s">
        <v>492</v>
      </c>
      <c r="B1" s="187"/>
      <c r="C1" s="187"/>
      <c r="D1" s="187"/>
      <c r="E1" s="187"/>
      <c r="F1" s="187"/>
      <c r="G1" s="187"/>
      <c r="H1" s="187"/>
    </row>
    <row r="2" spans="1:8" s="18" customFormat="1" ht="18.75" customHeight="1">
      <c r="A2" s="72" t="s">
        <v>494</v>
      </c>
      <c r="B2" s="186" t="s">
        <v>493</v>
      </c>
      <c r="C2" s="187"/>
      <c r="D2" s="187"/>
      <c r="E2" s="187"/>
      <c r="F2" s="187"/>
      <c r="G2" s="187"/>
      <c r="H2" s="187"/>
    </row>
    <row r="3" spans="1:8" ht="45">
      <c r="A3" s="26" t="s">
        <v>495</v>
      </c>
      <c r="B3" s="26" t="s">
        <v>499</v>
      </c>
      <c r="C3" s="26" t="s">
        <v>500</v>
      </c>
      <c r="D3" s="26" t="s">
        <v>496</v>
      </c>
      <c r="E3" s="26" t="s">
        <v>51</v>
      </c>
      <c r="F3" s="26" t="s">
        <v>497</v>
      </c>
      <c r="G3" s="26" t="s">
        <v>498</v>
      </c>
      <c r="H3" s="26" t="s">
        <v>478</v>
      </c>
    </row>
    <row r="4" spans="1:8" ht="60.75" customHeight="1">
      <c r="A4" s="159" t="s">
        <v>758</v>
      </c>
      <c r="B4" s="160"/>
      <c r="C4" s="160"/>
      <c r="D4" s="160"/>
      <c r="E4" s="160"/>
      <c r="F4" s="160"/>
      <c r="G4" s="160"/>
      <c r="H4" s="161"/>
    </row>
  </sheetData>
  <mergeCells count="3">
    <mergeCell ref="B2:H2"/>
    <mergeCell ref="A1:H1"/>
    <mergeCell ref="A4:H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59999389629810485"/>
  </sheetPr>
  <dimension ref="A1:G6"/>
  <sheetViews>
    <sheetView workbookViewId="0">
      <pane ySplit="4" topLeftCell="A5" activePane="bottomLeft" state="frozen"/>
      <selection pane="bottomLeft" activeCell="A5" sqref="A5:G5"/>
    </sheetView>
  </sheetViews>
  <sheetFormatPr defaultRowHeight="15"/>
  <cols>
    <col min="1" max="7" width="20.7109375" style="1" customWidth="1"/>
  </cols>
  <sheetData>
    <row r="1" spans="1:7" s="1" customFormat="1" ht="18.75" customHeight="1">
      <c r="A1" s="186" t="s">
        <v>501</v>
      </c>
      <c r="B1" s="187"/>
      <c r="C1" s="187"/>
      <c r="D1" s="187"/>
      <c r="E1" s="187"/>
      <c r="F1" s="187"/>
      <c r="G1" s="187"/>
    </row>
    <row r="2" spans="1:7" s="18" customFormat="1" ht="18.75" customHeight="1">
      <c r="A2" s="72" t="s">
        <v>502</v>
      </c>
      <c r="B2" s="186" t="s">
        <v>503</v>
      </c>
      <c r="C2" s="187"/>
      <c r="D2" s="187"/>
      <c r="E2" s="187"/>
      <c r="F2" s="187"/>
      <c r="G2" s="187"/>
    </row>
    <row r="3" spans="1:7" s="18" customFormat="1" ht="18.75" customHeight="1">
      <c r="A3" s="189" t="s">
        <v>504</v>
      </c>
      <c r="B3" s="191" t="s">
        <v>495</v>
      </c>
      <c r="C3" s="188" t="s">
        <v>505</v>
      </c>
      <c r="D3" s="188"/>
      <c r="E3" s="188"/>
      <c r="F3" s="191" t="s">
        <v>508</v>
      </c>
      <c r="G3" s="193" t="s">
        <v>478</v>
      </c>
    </row>
    <row r="4" spans="1:7" ht="33.75" customHeight="1">
      <c r="A4" s="190"/>
      <c r="B4" s="192"/>
      <c r="C4" s="26" t="s">
        <v>506</v>
      </c>
      <c r="D4" s="26" t="s">
        <v>507</v>
      </c>
      <c r="E4" s="26" t="s">
        <v>373</v>
      </c>
      <c r="F4" s="192"/>
      <c r="G4" s="194"/>
    </row>
    <row r="5" spans="1:7" ht="97.5" customHeight="1">
      <c r="A5" s="159" t="s">
        <v>540</v>
      </c>
      <c r="B5" s="160"/>
      <c r="C5" s="160"/>
      <c r="D5" s="160"/>
      <c r="E5" s="160"/>
      <c r="F5" s="160"/>
      <c r="G5" s="161"/>
    </row>
    <row r="6" spans="1:7" ht="116.25" customHeight="1"/>
  </sheetData>
  <mergeCells count="8">
    <mergeCell ref="B2:G2"/>
    <mergeCell ref="A1:G1"/>
    <mergeCell ref="A5:G5"/>
    <mergeCell ref="C3:E3"/>
    <mergeCell ref="A3:A4"/>
    <mergeCell ref="B3:B4"/>
    <mergeCell ref="F3:F4"/>
    <mergeCell ref="G3:G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59999389629810485"/>
  </sheetPr>
  <dimension ref="A1:G4"/>
  <sheetViews>
    <sheetView workbookViewId="0">
      <pane ySplit="3" topLeftCell="A4" activePane="bottomLeft" state="frozen"/>
      <selection pane="bottomLeft" activeCell="A5" sqref="A5"/>
    </sheetView>
  </sheetViews>
  <sheetFormatPr defaultRowHeight="15"/>
  <cols>
    <col min="1" max="7" width="20.7109375" style="1" customWidth="1"/>
  </cols>
  <sheetData>
    <row r="1" spans="1:7" s="1" customFormat="1" ht="18.75" customHeight="1">
      <c r="A1" s="186" t="s">
        <v>509</v>
      </c>
      <c r="B1" s="187"/>
      <c r="C1" s="187"/>
      <c r="D1" s="187"/>
      <c r="E1" s="187"/>
      <c r="F1" s="187"/>
      <c r="G1" s="187"/>
    </row>
    <row r="2" spans="1:7" s="18" customFormat="1" ht="18.75" customHeight="1">
      <c r="A2" s="72" t="s">
        <v>510</v>
      </c>
      <c r="B2" s="186" t="s">
        <v>511</v>
      </c>
      <c r="C2" s="187"/>
      <c r="D2" s="187"/>
      <c r="E2" s="187"/>
      <c r="F2" s="187"/>
      <c r="G2" s="187"/>
    </row>
    <row r="3" spans="1:7" ht="60">
      <c r="A3" s="26" t="s">
        <v>512</v>
      </c>
      <c r="B3" s="26" t="s">
        <v>504</v>
      </c>
      <c r="C3" s="26" t="s">
        <v>513</v>
      </c>
      <c r="D3" s="26" t="s">
        <v>514</v>
      </c>
      <c r="E3" s="26" t="s">
        <v>373</v>
      </c>
      <c r="F3" s="26" t="s">
        <v>515</v>
      </c>
      <c r="G3" s="26" t="s">
        <v>516</v>
      </c>
    </row>
    <row r="4" spans="1:7" ht="60.75" customHeight="1">
      <c r="A4" s="159" t="s">
        <v>759</v>
      </c>
      <c r="B4" s="160"/>
      <c r="C4" s="160"/>
      <c r="D4" s="160"/>
      <c r="E4" s="160"/>
      <c r="F4" s="160"/>
      <c r="G4" s="161"/>
    </row>
  </sheetData>
  <mergeCells count="3">
    <mergeCell ref="A1:G1"/>
    <mergeCell ref="B2:G2"/>
    <mergeCell ref="A4:G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3" tint="0.59999389629810485"/>
  </sheetPr>
  <dimension ref="A1:G23"/>
  <sheetViews>
    <sheetView workbookViewId="0">
      <pane ySplit="3" topLeftCell="A18" activePane="bottomLeft" state="frozen"/>
      <selection pane="bottomLeft" activeCell="B2" sqref="B2:F2"/>
    </sheetView>
  </sheetViews>
  <sheetFormatPr defaultRowHeight="15"/>
  <cols>
    <col min="1" max="1" width="28.42578125" style="1" customWidth="1"/>
    <col min="2" max="2" width="20.7109375" style="1" customWidth="1"/>
    <col min="3" max="3" width="42.140625" style="1" customWidth="1"/>
    <col min="4" max="5" width="20.7109375" style="1" customWidth="1"/>
    <col min="6" max="6" width="28.7109375" style="1" customWidth="1"/>
    <col min="7" max="7" width="62.85546875" customWidth="1"/>
  </cols>
  <sheetData>
    <row r="1" spans="1:7" s="1" customFormat="1" ht="18.75" customHeight="1">
      <c r="A1" s="195" t="s">
        <v>517</v>
      </c>
      <c r="B1" s="196"/>
      <c r="C1" s="196"/>
      <c r="D1" s="196"/>
      <c r="E1" s="196"/>
      <c r="F1" s="196"/>
    </row>
    <row r="2" spans="1:7" s="18" customFormat="1" ht="18.75" customHeight="1">
      <c r="A2" s="73" t="s">
        <v>510</v>
      </c>
      <c r="B2" s="195" t="s">
        <v>518</v>
      </c>
      <c r="C2" s="196"/>
      <c r="D2" s="196"/>
      <c r="E2" s="196"/>
      <c r="F2" s="196"/>
    </row>
    <row r="3" spans="1:7" ht="45">
      <c r="A3" s="74" t="s">
        <v>519</v>
      </c>
      <c r="B3" s="74" t="s">
        <v>115</v>
      </c>
      <c r="C3" s="74" t="s">
        <v>520</v>
      </c>
      <c r="D3" s="74" t="s">
        <v>521</v>
      </c>
      <c r="E3" s="74" t="s">
        <v>522</v>
      </c>
      <c r="F3" s="74" t="s">
        <v>8</v>
      </c>
    </row>
    <row r="4" spans="1:7" ht="72" customHeight="1">
      <c r="A4" s="3" t="s">
        <v>523</v>
      </c>
      <c r="B4" s="3" t="s">
        <v>786</v>
      </c>
      <c r="C4" s="46">
        <f>'6-Risorse idriche'!H5/'4-Prodotti finiti'!G5*1000</f>
        <v>24.599241527116945</v>
      </c>
      <c r="D4" s="3" t="s">
        <v>524</v>
      </c>
      <c r="E4" s="3" t="s">
        <v>16</v>
      </c>
      <c r="F4" s="3" t="s">
        <v>525</v>
      </c>
      <c r="G4" s="81"/>
    </row>
    <row r="5" spans="1:7" ht="72" customHeight="1">
      <c r="A5" s="3" t="s">
        <v>526</v>
      </c>
      <c r="B5" s="3" t="s">
        <v>562</v>
      </c>
      <c r="C5" s="46">
        <f>(('7-Energia'!F4+'7-Energia'!F5*35.337/3600)/'4-Prodotti finiti'!G5)*1000</f>
        <v>4.2979678456720984</v>
      </c>
      <c r="D5" s="3" t="s">
        <v>524</v>
      </c>
      <c r="E5" s="3" t="s">
        <v>16</v>
      </c>
      <c r="F5" s="3" t="s">
        <v>525</v>
      </c>
      <c r="G5" s="75" t="s">
        <v>529</v>
      </c>
    </row>
    <row r="6" spans="1:7" ht="72" customHeight="1">
      <c r="A6" s="3" t="s">
        <v>527</v>
      </c>
      <c r="B6" s="3" t="s">
        <v>543</v>
      </c>
      <c r="C6" s="77" t="s">
        <v>541</v>
      </c>
      <c r="D6" s="3" t="s">
        <v>524</v>
      </c>
      <c r="E6" s="3" t="s">
        <v>16</v>
      </c>
      <c r="F6" s="3" t="s">
        <v>525</v>
      </c>
    </row>
    <row r="7" spans="1:7" ht="72" customHeight="1">
      <c r="A7" s="3" t="s">
        <v>528</v>
      </c>
      <c r="B7" s="3" t="s">
        <v>543</v>
      </c>
      <c r="C7" s="77" t="s">
        <v>541</v>
      </c>
      <c r="D7" s="3" t="s">
        <v>524</v>
      </c>
      <c r="E7" s="3" t="s">
        <v>16</v>
      </c>
      <c r="F7" s="3" t="s">
        <v>525</v>
      </c>
    </row>
    <row r="8" spans="1:7" ht="72" customHeight="1" thickBot="1">
      <c r="A8" s="64" t="s">
        <v>542</v>
      </c>
      <c r="B8" s="64" t="s">
        <v>543</v>
      </c>
      <c r="C8" s="109">
        <f>'15-Rifiuti in uscita'!H50/'4-Prodotti finiti'!G5</f>
        <v>1.7829847542457689E-2</v>
      </c>
      <c r="D8" s="64" t="s">
        <v>524</v>
      </c>
      <c r="E8" s="64" t="s">
        <v>16</v>
      </c>
      <c r="F8" s="64" t="s">
        <v>525</v>
      </c>
    </row>
    <row r="9" spans="1:7" ht="72" customHeight="1" thickTop="1">
      <c r="A9" s="20" t="s">
        <v>523</v>
      </c>
      <c r="B9" s="20" t="s">
        <v>787</v>
      </c>
      <c r="C9" s="110">
        <f>'6-Risorse idriche'!H11/'4-Prodotti finiti'!G7*1000</f>
        <v>26.961748360005785</v>
      </c>
      <c r="D9" s="20" t="s">
        <v>524</v>
      </c>
      <c r="E9" s="20" t="s">
        <v>16</v>
      </c>
      <c r="F9" s="20" t="s">
        <v>525</v>
      </c>
      <c r="G9" s="81"/>
    </row>
    <row r="10" spans="1:7" ht="72" customHeight="1">
      <c r="A10" s="19" t="s">
        <v>526</v>
      </c>
      <c r="B10" s="19" t="s">
        <v>563</v>
      </c>
      <c r="C10" s="78">
        <f>(('7-Energia'!F6+'7-Energia'!F7/1000+'7-Energia'!F8*35.457/3600)/'4-Prodotti finiti'!G7)*1000</f>
        <v>5.0194399486901125</v>
      </c>
      <c r="D10" s="19" t="s">
        <v>524</v>
      </c>
      <c r="E10" s="19" t="s">
        <v>16</v>
      </c>
      <c r="F10" s="19" t="s">
        <v>525</v>
      </c>
      <c r="G10" s="75" t="s">
        <v>529</v>
      </c>
    </row>
    <row r="11" spans="1:7" ht="72" customHeight="1">
      <c r="A11" s="19" t="s">
        <v>527</v>
      </c>
      <c r="B11" s="19" t="s">
        <v>544</v>
      </c>
      <c r="C11" s="80" t="s">
        <v>541</v>
      </c>
      <c r="D11" s="19" t="s">
        <v>524</v>
      </c>
      <c r="E11" s="19" t="s">
        <v>16</v>
      </c>
      <c r="F11" s="19" t="s">
        <v>525</v>
      </c>
    </row>
    <row r="12" spans="1:7" ht="72" customHeight="1">
      <c r="A12" s="19" t="s">
        <v>528</v>
      </c>
      <c r="B12" s="19" t="s">
        <v>544</v>
      </c>
      <c r="C12" s="80" t="s">
        <v>541</v>
      </c>
      <c r="D12" s="19" t="s">
        <v>524</v>
      </c>
      <c r="E12" s="19" t="s">
        <v>16</v>
      </c>
      <c r="F12" s="19" t="s">
        <v>525</v>
      </c>
    </row>
    <row r="13" spans="1:7" ht="72" customHeight="1" thickBot="1">
      <c r="A13" s="62" t="s">
        <v>542</v>
      </c>
      <c r="B13" s="62" t="s">
        <v>544</v>
      </c>
      <c r="C13" s="111">
        <f>'15-Rifiuti in uscita'!I50/'4-Prodotti finiti'!G7</f>
        <v>2.2493816293813505E-2</v>
      </c>
      <c r="D13" s="62" t="s">
        <v>524</v>
      </c>
      <c r="E13" s="62" t="s">
        <v>16</v>
      </c>
      <c r="F13" s="62" t="s">
        <v>525</v>
      </c>
    </row>
    <row r="14" spans="1:7" ht="72" customHeight="1" thickTop="1">
      <c r="A14" s="38" t="s">
        <v>523</v>
      </c>
      <c r="B14" s="38" t="s">
        <v>788</v>
      </c>
      <c r="C14" s="90">
        <f>'6-Risorse idriche'!H17/'4-Prodotti finiti'!G9*1000</f>
        <v>30.163594251635271</v>
      </c>
      <c r="D14" s="38" t="s">
        <v>524</v>
      </c>
      <c r="E14" s="38" t="s">
        <v>16</v>
      </c>
      <c r="F14" s="38" t="s">
        <v>525</v>
      </c>
      <c r="G14" s="81"/>
    </row>
    <row r="15" spans="1:7" ht="72" customHeight="1">
      <c r="A15" s="3" t="s">
        <v>526</v>
      </c>
      <c r="B15" s="3" t="s">
        <v>564</v>
      </c>
      <c r="C15" s="46">
        <f>(('7-Energia'!F10+'7-Energia'!F11/1000+'7-Energia'!F12*35.584/3600)/'4-Prodotti finiti'!G9)*1000</f>
        <v>5.9731487253039157</v>
      </c>
      <c r="D15" s="3" t="s">
        <v>524</v>
      </c>
      <c r="E15" s="3" t="s">
        <v>16</v>
      </c>
      <c r="F15" s="3" t="s">
        <v>525</v>
      </c>
      <c r="G15" s="75" t="s">
        <v>529</v>
      </c>
    </row>
    <row r="16" spans="1:7" ht="72" customHeight="1">
      <c r="A16" s="3" t="s">
        <v>527</v>
      </c>
      <c r="B16" s="3" t="s">
        <v>530</v>
      </c>
      <c r="C16" s="77" t="s">
        <v>541</v>
      </c>
      <c r="D16" s="3" t="s">
        <v>524</v>
      </c>
      <c r="E16" s="3" t="s">
        <v>16</v>
      </c>
      <c r="F16" s="3" t="s">
        <v>525</v>
      </c>
    </row>
    <row r="17" spans="1:7" ht="72" customHeight="1">
      <c r="A17" s="3" t="s">
        <v>528</v>
      </c>
      <c r="B17" s="3" t="s">
        <v>530</v>
      </c>
      <c r="C17" s="77" t="s">
        <v>541</v>
      </c>
      <c r="D17" s="3" t="s">
        <v>524</v>
      </c>
      <c r="E17" s="3" t="s">
        <v>16</v>
      </c>
      <c r="F17" s="3" t="s">
        <v>525</v>
      </c>
    </row>
    <row r="18" spans="1:7" ht="72" customHeight="1" thickBot="1">
      <c r="A18" s="64" t="s">
        <v>542</v>
      </c>
      <c r="B18" s="64" t="s">
        <v>530</v>
      </c>
      <c r="C18" s="109">
        <f>'15-Rifiuti in uscita'!J50/'4-Prodotti finiti'!G9</f>
        <v>2.9154971095428202E-2</v>
      </c>
      <c r="D18" s="64" t="s">
        <v>524</v>
      </c>
      <c r="E18" s="64" t="s">
        <v>16</v>
      </c>
      <c r="F18" s="64" t="s">
        <v>525</v>
      </c>
    </row>
    <row r="19" spans="1:7" ht="72" customHeight="1" thickTop="1">
      <c r="A19" s="20" t="s">
        <v>523</v>
      </c>
      <c r="B19" s="20" t="s">
        <v>789</v>
      </c>
      <c r="C19" s="110">
        <f>'6-Risorse idriche'!H23/'4-Prodotti finiti'!G11*1000</f>
        <v>34.548248995330916</v>
      </c>
      <c r="D19" s="20" t="s">
        <v>524</v>
      </c>
      <c r="E19" s="20" t="s">
        <v>16</v>
      </c>
      <c r="F19" s="20" t="s">
        <v>525</v>
      </c>
      <c r="G19" s="81"/>
    </row>
    <row r="20" spans="1:7" ht="72" customHeight="1">
      <c r="A20" s="19" t="s">
        <v>526</v>
      </c>
      <c r="B20" s="19" t="s">
        <v>760</v>
      </c>
      <c r="C20" s="78">
        <f>(('7-Energia'!F14+'7-Energia'!F15/1000+'7-Energia'!F16*35.677/3600)/'4-Prodotti finiti'!G11)*1000</f>
        <v>6.2499883949993515</v>
      </c>
      <c r="D20" s="19" t="s">
        <v>524</v>
      </c>
      <c r="E20" s="19" t="s">
        <v>16</v>
      </c>
      <c r="F20" s="19" t="s">
        <v>525</v>
      </c>
      <c r="G20" s="75" t="s">
        <v>529</v>
      </c>
    </row>
    <row r="21" spans="1:7" ht="72" customHeight="1">
      <c r="A21" s="19" t="s">
        <v>527</v>
      </c>
      <c r="B21" s="19" t="s">
        <v>761</v>
      </c>
      <c r="C21" s="80" t="s">
        <v>541</v>
      </c>
      <c r="D21" s="19" t="s">
        <v>524</v>
      </c>
      <c r="E21" s="19" t="s">
        <v>16</v>
      </c>
      <c r="F21" s="19" t="s">
        <v>525</v>
      </c>
    </row>
    <row r="22" spans="1:7" ht="72" customHeight="1">
      <c r="A22" s="19" t="s">
        <v>528</v>
      </c>
      <c r="B22" s="19" t="s">
        <v>761</v>
      </c>
      <c r="C22" s="80" t="s">
        <v>541</v>
      </c>
      <c r="D22" s="19" t="s">
        <v>524</v>
      </c>
      <c r="E22" s="19" t="s">
        <v>16</v>
      </c>
      <c r="F22" s="19" t="s">
        <v>525</v>
      </c>
    </row>
    <row r="23" spans="1:7" ht="72" customHeight="1">
      <c r="A23" s="19" t="s">
        <v>542</v>
      </c>
      <c r="B23" s="19" t="s">
        <v>761</v>
      </c>
      <c r="C23" s="79">
        <f>'15-Rifiuti in uscita'!K50/'4-Prodotti finiti'!G11</f>
        <v>5.5544244999896492E-2</v>
      </c>
      <c r="D23" s="19" t="s">
        <v>524</v>
      </c>
      <c r="E23" s="19" t="s">
        <v>16</v>
      </c>
      <c r="F23" s="19" t="s">
        <v>525</v>
      </c>
    </row>
  </sheetData>
  <mergeCells count="2">
    <mergeCell ref="B2:F2"/>
    <mergeCell ref="A1:F1"/>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3" tint="0.59999389629810485"/>
  </sheetPr>
  <dimension ref="A1:F23"/>
  <sheetViews>
    <sheetView workbookViewId="0">
      <pane ySplit="3" topLeftCell="A18" activePane="bottomLeft" state="frozen"/>
      <selection pane="bottomLeft" activeCell="B2" sqref="B2:F2"/>
    </sheetView>
  </sheetViews>
  <sheetFormatPr defaultRowHeight="15"/>
  <cols>
    <col min="1" max="1" width="28.42578125" style="1" customWidth="1"/>
    <col min="2" max="5" width="20.7109375" style="1" customWidth="1"/>
    <col min="6" max="6" width="28.7109375" style="1" customWidth="1"/>
  </cols>
  <sheetData>
    <row r="1" spans="1:6" s="1" customFormat="1" ht="18.75" customHeight="1">
      <c r="A1" s="195" t="s">
        <v>531</v>
      </c>
      <c r="B1" s="196"/>
      <c r="C1" s="196"/>
      <c r="D1" s="196"/>
      <c r="E1" s="196"/>
      <c r="F1" s="196"/>
    </row>
    <row r="2" spans="1:6" s="18" customFormat="1" ht="18.75" customHeight="1">
      <c r="A2" s="73" t="s">
        <v>510</v>
      </c>
      <c r="B2" s="195" t="s">
        <v>532</v>
      </c>
      <c r="C2" s="196"/>
      <c r="D2" s="196"/>
      <c r="E2" s="196"/>
      <c r="F2" s="196"/>
    </row>
    <row r="3" spans="1:6" ht="45">
      <c r="A3" s="74" t="s">
        <v>519</v>
      </c>
      <c r="B3" s="74" t="s">
        <v>115</v>
      </c>
      <c r="C3" s="74" t="s">
        <v>520</v>
      </c>
      <c r="D3" s="74" t="s">
        <v>521</v>
      </c>
      <c r="E3" s="74" t="s">
        <v>522</v>
      </c>
      <c r="F3" s="74" t="s">
        <v>8</v>
      </c>
    </row>
    <row r="4" spans="1:6" ht="72" customHeight="1">
      <c r="A4" s="3" t="s">
        <v>535</v>
      </c>
      <c r="B4" s="3" t="s">
        <v>565</v>
      </c>
      <c r="C4" s="4">
        <f>27395/0.35</f>
        <v>78271.42857142858</v>
      </c>
      <c r="D4" s="3" t="s">
        <v>533</v>
      </c>
      <c r="E4" s="3" t="s">
        <v>16</v>
      </c>
      <c r="F4" s="3" t="s">
        <v>525</v>
      </c>
    </row>
    <row r="5" spans="1:6" ht="72" customHeight="1">
      <c r="A5" s="3" t="s">
        <v>536</v>
      </c>
      <c r="B5" s="3" t="s">
        <v>793</v>
      </c>
      <c r="C5" s="4">
        <f>'6-Risorse idriche'!H9</f>
        <v>97757</v>
      </c>
      <c r="D5" s="3" t="s">
        <v>534</v>
      </c>
      <c r="E5" s="3" t="s">
        <v>16</v>
      </c>
      <c r="F5" s="3" t="s">
        <v>525</v>
      </c>
    </row>
    <row r="6" spans="1:6" ht="97.5" customHeight="1">
      <c r="A6" s="3" t="s">
        <v>537</v>
      </c>
      <c r="B6" s="3" t="s">
        <v>548</v>
      </c>
      <c r="C6" s="76">
        <f>('21-Indicatori di performance'!C4-33)/33</f>
        <v>-0.25456843857221378</v>
      </c>
      <c r="D6" s="3" t="s">
        <v>524</v>
      </c>
      <c r="E6" s="3" t="s">
        <v>16</v>
      </c>
      <c r="F6" s="3" t="s">
        <v>525</v>
      </c>
    </row>
    <row r="7" spans="1:6" ht="97.5" customHeight="1">
      <c r="A7" s="3" t="s">
        <v>538</v>
      </c>
      <c r="B7" s="3" t="s">
        <v>548</v>
      </c>
      <c r="C7" s="76">
        <f>('21-Indicatori di performance'!C5-5.86)/5.86</f>
        <v>-0.26655838811056343</v>
      </c>
      <c r="D7" s="3" t="s">
        <v>524</v>
      </c>
      <c r="E7" s="3" t="s">
        <v>16</v>
      </c>
      <c r="F7" s="3" t="s">
        <v>525</v>
      </c>
    </row>
    <row r="8" spans="1:6" ht="72" customHeight="1" thickBot="1">
      <c r="A8" s="64" t="s">
        <v>539</v>
      </c>
      <c r="B8" s="64" t="s">
        <v>547</v>
      </c>
      <c r="C8" s="85">
        <f>176669/'15-Rifiuti in uscita'!H50</f>
        <v>0.97707589014125007</v>
      </c>
      <c r="D8" s="64" t="s">
        <v>524</v>
      </c>
      <c r="E8" s="64" t="s">
        <v>16</v>
      </c>
      <c r="F8" s="64" t="s">
        <v>525</v>
      </c>
    </row>
    <row r="9" spans="1:6" ht="72" customHeight="1" thickTop="1">
      <c r="A9" s="20" t="s">
        <v>535</v>
      </c>
      <c r="B9" s="20" t="s">
        <v>566</v>
      </c>
      <c r="C9" s="21">
        <f>39223/0.35</f>
        <v>112065.71428571429</v>
      </c>
      <c r="D9" s="20" t="s">
        <v>533</v>
      </c>
      <c r="E9" s="20" t="s">
        <v>16</v>
      </c>
      <c r="F9" s="20" t="s">
        <v>525</v>
      </c>
    </row>
    <row r="10" spans="1:6" ht="72" customHeight="1">
      <c r="A10" s="19" t="s">
        <v>536</v>
      </c>
      <c r="B10" s="19" t="s">
        <v>792</v>
      </c>
      <c r="C10" s="22">
        <f>'6-Risorse idriche'!H15</f>
        <v>115757</v>
      </c>
      <c r="D10" s="19" t="s">
        <v>534</v>
      </c>
      <c r="E10" s="19" t="s">
        <v>16</v>
      </c>
      <c r="F10" s="19" t="s">
        <v>525</v>
      </c>
    </row>
    <row r="11" spans="1:6" ht="97.5" customHeight="1">
      <c r="A11" s="19" t="s">
        <v>537</v>
      </c>
      <c r="B11" s="19" t="s">
        <v>549</v>
      </c>
      <c r="C11" s="82">
        <f>('21-Indicatori di performance'!C9-'21-Indicatori di performance'!C4)/'21-Indicatori di performance'!C4</f>
        <v>9.6039824247610789E-2</v>
      </c>
      <c r="D11" s="19" t="s">
        <v>524</v>
      </c>
      <c r="E11" s="19" t="s">
        <v>16</v>
      </c>
      <c r="F11" s="19" t="s">
        <v>525</v>
      </c>
    </row>
    <row r="12" spans="1:6" ht="97.5" customHeight="1">
      <c r="A12" s="19" t="s">
        <v>538</v>
      </c>
      <c r="B12" s="19" t="s">
        <v>549</v>
      </c>
      <c r="C12" s="82">
        <f>('21-Indicatori di performance'!C10-'21-Indicatori di performance'!C5)/'21-Indicatori di performance'!C5</f>
        <v>0.16786354131162495</v>
      </c>
      <c r="D12" s="19" t="s">
        <v>524</v>
      </c>
      <c r="E12" s="19" t="s">
        <v>16</v>
      </c>
      <c r="F12" s="19" t="s">
        <v>525</v>
      </c>
    </row>
    <row r="13" spans="1:6" ht="72" customHeight="1" thickBot="1">
      <c r="A13" s="62" t="s">
        <v>539</v>
      </c>
      <c r="B13" s="62" t="s">
        <v>546</v>
      </c>
      <c r="C13" s="86">
        <f>183453/'15-Rifiuti in uscita'!I50</f>
        <v>0.96046679650687938</v>
      </c>
      <c r="D13" s="62" t="s">
        <v>524</v>
      </c>
      <c r="E13" s="62" t="s">
        <v>16</v>
      </c>
      <c r="F13" s="62" t="s">
        <v>525</v>
      </c>
    </row>
    <row r="14" spans="1:6" ht="72" customHeight="1" thickTop="1">
      <c r="A14" s="38" t="s">
        <v>535</v>
      </c>
      <c r="B14" s="38" t="s">
        <v>567</v>
      </c>
      <c r="C14" s="40">
        <f>26778/0.35</f>
        <v>76508.571428571435</v>
      </c>
      <c r="D14" s="38" t="s">
        <v>533</v>
      </c>
      <c r="E14" s="38" t="s">
        <v>16</v>
      </c>
      <c r="F14" s="38" t="s">
        <v>525</v>
      </c>
    </row>
    <row r="15" spans="1:6" ht="72" customHeight="1">
      <c r="A15" s="3" t="s">
        <v>536</v>
      </c>
      <c r="B15" s="3" t="s">
        <v>791</v>
      </c>
      <c r="C15" s="4">
        <f>'6-Risorse idriche'!H21</f>
        <v>96853</v>
      </c>
      <c r="D15" s="3" t="s">
        <v>534</v>
      </c>
      <c r="E15" s="3" t="s">
        <v>16</v>
      </c>
      <c r="F15" s="3" t="s">
        <v>525</v>
      </c>
    </row>
    <row r="16" spans="1:6" ht="97.5" customHeight="1">
      <c r="A16" s="3" t="s">
        <v>537</v>
      </c>
      <c r="B16" s="3" t="s">
        <v>550</v>
      </c>
      <c r="C16" s="76">
        <f>('21-Indicatori di performance'!C14-'21-Indicatori di performance'!C9)/'21-Indicatori di performance'!C9</f>
        <v>0.11875512852048584</v>
      </c>
      <c r="D16" s="3" t="s">
        <v>524</v>
      </c>
      <c r="E16" s="3" t="s">
        <v>16</v>
      </c>
      <c r="F16" s="3" t="s">
        <v>525</v>
      </c>
    </row>
    <row r="17" spans="1:6" ht="97.5" customHeight="1">
      <c r="A17" s="3" t="s">
        <v>538</v>
      </c>
      <c r="B17" s="3" t="s">
        <v>550</v>
      </c>
      <c r="C17" s="76">
        <f>('21-Indicatori di performance'!C15-'21-Indicatori di performance'!C10)/'21-Indicatori di performance'!C10</f>
        <v>0.19000302550938694</v>
      </c>
      <c r="D17" s="3" t="s">
        <v>524</v>
      </c>
      <c r="E17" s="3" t="s">
        <v>16</v>
      </c>
      <c r="F17" s="3" t="s">
        <v>525</v>
      </c>
    </row>
    <row r="18" spans="1:6" ht="72" customHeight="1" thickBot="1">
      <c r="A18" s="64" t="s">
        <v>539</v>
      </c>
      <c r="B18" s="64" t="s">
        <v>545</v>
      </c>
      <c r="C18" s="85">
        <f>174363/'15-Rifiuti in uscita'!J50</f>
        <v>0.87906287339110967</v>
      </c>
      <c r="D18" s="64" t="s">
        <v>524</v>
      </c>
      <c r="E18" s="64" t="s">
        <v>16</v>
      </c>
      <c r="F18" s="64" t="s">
        <v>525</v>
      </c>
    </row>
    <row r="19" spans="1:6" ht="72" customHeight="1" thickTop="1">
      <c r="A19" s="20" t="s">
        <v>535</v>
      </c>
      <c r="B19" s="20" t="s">
        <v>763</v>
      </c>
      <c r="C19" s="21">
        <f>10823/0.35</f>
        <v>30922.857142857145</v>
      </c>
      <c r="D19" s="20" t="s">
        <v>533</v>
      </c>
      <c r="E19" s="20" t="s">
        <v>16</v>
      </c>
      <c r="F19" s="20" t="s">
        <v>525</v>
      </c>
    </row>
    <row r="20" spans="1:6" ht="72" customHeight="1">
      <c r="A20" s="19" t="s">
        <v>536</v>
      </c>
      <c r="B20" s="19" t="s">
        <v>790</v>
      </c>
      <c r="C20" s="22">
        <f>'6-Risorse idriche'!H27</f>
        <v>109357</v>
      </c>
      <c r="D20" s="19" t="s">
        <v>534</v>
      </c>
      <c r="E20" s="19" t="s">
        <v>16</v>
      </c>
      <c r="F20" s="19" t="s">
        <v>525</v>
      </c>
    </row>
    <row r="21" spans="1:6" ht="97.5" customHeight="1">
      <c r="A21" s="19" t="s">
        <v>537</v>
      </c>
      <c r="B21" s="19" t="s">
        <v>764</v>
      </c>
      <c r="C21" s="82">
        <f>('21-Indicatori di performance'!C19-'21-Indicatori di performance'!C14)/'21-Indicatori di performance'!C14</f>
        <v>0.14536247594094123</v>
      </c>
      <c r="D21" s="19" t="s">
        <v>524</v>
      </c>
      <c r="E21" s="19" t="s">
        <v>16</v>
      </c>
      <c r="F21" s="19" t="s">
        <v>525</v>
      </c>
    </row>
    <row r="22" spans="1:6" ht="97.5" customHeight="1">
      <c r="A22" s="19" t="s">
        <v>538</v>
      </c>
      <c r="B22" s="19" t="s">
        <v>764</v>
      </c>
      <c r="C22" s="82">
        <f>('21-Indicatori di performance'!C20-'21-Indicatori di performance'!C15)/'21-Indicatori di performance'!C15</f>
        <v>4.6347359228251957E-2</v>
      </c>
      <c r="D22" s="19" t="s">
        <v>524</v>
      </c>
      <c r="E22" s="19" t="s">
        <v>16</v>
      </c>
      <c r="F22" s="19" t="s">
        <v>525</v>
      </c>
    </row>
    <row r="23" spans="1:6" ht="72" customHeight="1">
      <c r="A23" s="19" t="s">
        <v>539</v>
      </c>
      <c r="B23" s="19" t="s">
        <v>762</v>
      </c>
      <c r="C23" s="82">
        <f>372525/'15-Rifiuti in uscita'!K50</f>
        <v>0.95298090328852281</v>
      </c>
      <c r="D23" s="19" t="s">
        <v>524</v>
      </c>
      <c r="E23" s="19" t="s">
        <v>16</v>
      </c>
      <c r="F23" s="19" t="s">
        <v>525</v>
      </c>
    </row>
  </sheetData>
  <mergeCells count="2">
    <mergeCell ref="A1:F1"/>
    <mergeCell ref="B2: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I5"/>
  <sheetViews>
    <sheetView workbookViewId="0">
      <pane ySplit="4" topLeftCell="A5" activePane="bottomLeft" state="frozen"/>
      <selection pane="bottomLeft" activeCell="B3" sqref="B3:I3"/>
    </sheetView>
  </sheetViews>
  <sheetFormatPr defaultRowHeight="15"/>
  <cols>
    <col min="1" max="9" width="20.7109375" customWidth="1"/>
  </cols>
  <sheetData>
    <row r="1" spans="1:9" s="1" customFormat="1" ht="18.75" customHeight="1">
      <c r="A1" s="116" t="s">
        <v>81</v>
      </c>
      <c r="B1" s="117"/>
      <c r="C1" s="117"/>
      <c r="D1" s="117"/>
      <c r="E1" s="117"/>
      <c r="F1" s="117"/>
      <c r="G1" s="117"/>
      <c r="H1" s="117"/>
      <c r="I1" s="117"/>
    </row>
    <row r="2" spans="1:9" s="1" customFormat="1" ht="18.75">
      <c r="A2" s="119" t="s">
        <v>82</v>
      </c>
      <c r="B2" s="120"/>
      <c r="C2" s="120"/>
      <c r="D2" s="120"/>
      <c r="E2" s="120"/>
      <c r="F2" s="120"/>
      <c r="G2" s="120"/>
      <c r="H2" s="120"/>
      <c r="I2" s="120"/>
    </row>
    <row r="3" spans="1:9" s="1" customFormat="1" ht="18.75" customHeight="1">
      <c r="A3" s="27" t="s">
        <v>54</v>
      </c>
      <c r="B3" s="115" t="s">
        <v>55</v>
      </c>
      <c r="C3" s="115"/>
      <c r="D3" s="115"/>
      <c r="E3" s="115"/>
      <c r="F3" s="115"/>
      <c r="G3" s="115"/>
      <c r="H3" s="115"/>
      <c r="I3" s="115"/>
    </row>
    <row r="4" spans="1:9" s="1" customFormat="1" ht="30">
      <c r="A4" s="28" t="s">
        <v>2</v>
      </c>
      <c r="B4" s="28" t="s">
        <v>3</v>
      </c>
      <c r="C4" s="28" t="s">
        <v>56</v>
      </c>
      <c r="D4" s="28" t="s">
        <v>57</v>
      </c>
      <c r="E4" s="28" t="s">
        <v>58</v>
      </c>
      <c r="F4" s="28" t="s">
        <v>42</v>
      </c>
      <c r="G4" s="28" t="s">
        <v>70</v>
      </c>
      <c r="H4" s="28" t="s">
        <v>51</v>
      </c>
      <c r="I4" s="28" t="s">
        <v>8</v>
      </c>
    </row>
    <row r="5" spans="1:9" s="1" customFormat="1">
      <c r="A5" s="122" t="s">
        <v>52</v>
      </c>
      <c r="B5" s="122"/>
      <c r="C5" s="122"/>
      <c r="D5" s="122"/>
      <c r="E5" s="122"/>
      <c r="F5" s="122"/>
      <c r="G5" s="122"/>
      <c r="H5" s="122"/>
      <c r="I5" s="122"/>
    </row>
  </sheetData>
  <mergeCells count="4">
    <mergeCell ref="B3:I3"/>
    <mergeCell ref="A5:I5"/>
    <mergeCell ref="A1:I1"/>
    <mergeCell ref="A2:I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K41"/>
  <sheetViews>
    <sheetView workbookViewId="0">
      <pane ySplit="4" topLeftCell="A5" activePane="bottomLeft" state="frozen"/>
      <selection pane="bottomLeft" activeCell="B3" sqref="B3:J3"/>
    </sheetView>
  </sheetViews>
  <sheetFormatPr defaultColWidth="9.140625" defaultRowHeight="15"/>
  <cols>
    <col min="1" max="5" width="20.7109375" style="15" customWidth="1"/>
    <col min="6" max="6" width="20.7109375" style="1" customWidth="1"/>
    <col min="7" max="7" width="20.7109375" style="2" customWidth="1"/>
    <col min="8" max="8" width="20.7109375" style="1" customWidth="1"/>
    <col min="9" max="10" width="20.7109375" style="15" customWidth="1"/>
    <col min="11" max="16384" width="9.140625" style="15"/>
  </cols>
  <sheetData>
    <row r="1" spans="1:11" s="1" customFormat="1" ht="18.75" customHeight="1">
      <c r="A1" s="123" t="s">
        <v>81</v>
      </c>
      <c r="B1" s="124"/>
      <c r="C1" s="124"/>
      <c r="D1" s="124"/>
      <c r="E1" s="124"/>
      <c r="F1" s="124"/>
      <c r="G1" s="124"/>
      <c r="H1" s="124"/>
      <c r="I1" s="124"/>
      <c r="J1" s="124"/>
    </row>
    <row r="2" spans="1:11" s="1" customFormat="1" ht="18.75">
      <c r="A2" s="125" t="s">
        <v>83</v>
      </c>
      <c r="B2" s="126"/>
      <c r="C2" s="126"/>
      <c r="D2" s="126"/>
      <c r="E2" s="126"/>
      <c r="F2" s="126"/>
      <c r="G2" s="126"/>
      <c r="H2" s="126"/>
      <c r="I2" s="126"/>
      <c r="J2" s="126"/>
    </row>
    <row r="3" spans="1:11" s="1" customFormat="1" ht="18.75" customHeight="1">
      <c r="A3" s="27" t="s">
        <v>59</v>
      </c>
      <c r="B3" s="116" t="s">
        <v>60</v>
      </c>
      <c r="C3" s="117"/>
      <c r="D3" s="117"/>
      <c r="E3" s="117"/>
      <c r="F3" s="117"/>
      <c r="G3" s="117"/>
      <c r="H3" s="117"/>
      <c r="I3" s="117"/>
      <c r="J3" s="118"/>
      <c r="K3" s="15"/>
    </row>
    <row r="4" spans="1:11" ht="30">
      <c r="A4" s="28" t="s">
        <v>2</v>
      </c>
      <c r="B4" s="28" t="s">
        <v>3</v>
      </c>
      <c r="C4" s="28" t="s">
        <v>61</v>
      </c>
      <c r="D4" s="28" t="s">
        <v>50</v>
      </c>
      <c r="E4" s="28" t="s">
        <v>62</v>
      </c>
      <c r="F4" s="28" t="s">
        <v>44</v>
      </c>
      <c r="G4" s="29" t="s">
        <v>71</v>
      </c>
      <c r="H4" s="28" t="s">
        <v>115</v>
      </c>
      <c r="I4" s="28" t="s">
        <v>51</v>
      </c>
      <c r="J4" s="28" t="s">
        <v>8</v>
      </c>
    </row>
    <row r="5" spans="1:11" ht="45">
      <c r="A5" s="3" t="s">
        <v>63</v>
      </c>
      <c r="B5" s="3" t="s">
        <v>64</v>
      </c>
      <c r="C5" s="3" t="s">
        <v>13</v>
      </c>
      <c r="D5" s="3" t="s">
        <v>65</v>
      </c>
      <c r="E5" s="3" t="s">
        <v>66</v>
      </c>
      <c r="F5" s="3">
        <v>2022</v>
      </c>
      <c r="G5" s="4">
        <f>4935448.96+5205636.07</f>
        <v>10141085.030000001</v>
      </c>
      <c r="H5" s="3" t="s">
        <v>72</v>
      </c>
      <c r="I5" s="3" t="s">
        <v>67</v>
      </c>
      <c r="J5" s="3" t="s">
        <v>68</v>
      </c>
    </row>
    <row r="6" spans="1:11" ht="45.75" thickBot="1">
      <c r="A6" s="5" t="s">
        <v>63</v>
      </c>
      <c r="B6" s="5" t="s">
        <v>64</v>
      </c>
      <c r="C6" s="5" t="s">
        <v>13</v>
      </c>
      <c r="D6" s="5" t="s">
        <v>65</v>
      </c>
      <c r="E6" s="5" t="s">
        <v>66</v>
      </c>
      <c r="F6" s="5">
        <v>2022</v>
      </c>
      <c r="G6" s="6">
        <f>1373141.43+1433170.8</f>
        <v>2806312.23</v>
      </c>
      <c r="H6" s="5" t="s">
        <v>26</v>
      </c>
      <c r="I6" s="5" t="s">
        <v>67</v>
      </c>
      <c r="J6" s="5" t="s">
        <v>68</v>
      </c>
    </row>
    <row r="7" spans="1:11" ht="45.75" thickTop="1">
      <c r="A7" s="20" t="s">
        <v>63</v>
      </c>
      <c r="B7" s="20" t="s">
        <v>64</v>
      </c>
      <c r="C7" s="20" t="s">
        <v>13</v>
      </c>
      <c r="D7" s="20" t="s">
        <v>65</v>
      </c>
      <c r="E7" s="20" t="s">
        <v>66</v>
      </c>
      <c r="F7" s="20">
        <v>2023</v>
      </c>
      <c r="G7" s="21">
        <f>4848829.56+3642570.81</f>
        <v>8491400.3699999992</v>
      </c>
      <c r="H7" s="20" t="s">
        <v>72</v>
      </c>
      <c r="I7" s="20" t="s">
        <v>67</v>
      </c>
      <c r="J7" s="20" t="s">
        <v>68</v>
      </c>
    </row>
    <row r="8" spans="1:11" ht="45.75" thickBot="1">
      <c r="A8" s="41" t="s">
        <v>63</v>
      </c>
      <c r="B8" s="41" t="s">
        <v>64</v>
      </c>
      <c r="C8" s="41" t="s">
        <v>13</v>
      </c>
      <c r="D8" s="41" t="s">
        <v>65</v>
      </c>
      <c r="E8" s="41" t="s">
        <v>66</v>
      </c>
      <c r="F8" s="41">
        <v>2023</v>
      </c>
      <c r="G8" s="43">
        <f>1341186.74+992564.58</f>
        <v>2333751.3199999998</v>
      </c>
      <c r="H8" s="41" t="s">
        <v>26</v>
      </c>
      <c r="I8" s="41" t="s">
        <v>67</v>
      </c>
      <c r="J8" s="41" t="s">
        <v>68</v>
      </c>
    </row>
    <row r="9" spans="1:11" ht="45.75" thickTop="1">
      <c r="A9" s="38" t="s">
        <v>63</v>
      </c>
      <c r="B9" s="38" t="s">
        <v>64</v>
      </c>
      <c r="C9" s="38" t="s">
        <v>13</v>
      </c>
      <c r="D9" s="38" t="s">
        <v>65</v>
      </c>
      <c r="E9" s="38" t="s">
        <v>66</v>
      </c>
      <c r="F9" s="38">
        <v>2024</v>
      </c>
      <c r="G9" s="40">
        <f>3496143.42+3307190.37</f>
        <v>6803333.79</v>
      </c>
      <c r="H9" s="38" t="s">
        <v>72</v>
      </c>
      <c r="I9" s="38" t="s">
        <v>67</v>
      </c>
      <c r="J9" s="38" t="s">
        <v>68</v>
      </c>
    </row>
    <row r="10" spans="1:11" ht="45.75" thickBot="1">
      <c r="A10" s="5" t="s">
        <v>63</v>
      </c>
      <c r="B10" s="5" t="s">
        <v>64</v>
      </c>
      <c r="C10" s="5" t="s">
        <v>13</v>
      </c>
      <c r="D10" s="5" t="s">
        <v>65</v>
      </c>
      <c r="E10" s="5" t="s">
        <v>66</v>
      </c>
      <c r="F10" s="5">
        <v>2024</v>
      </c>
      <c r="G10" s="6">
        <f>975206.83+905548.57</f>
        <v>1880755.4</v>
      </c>
      <c r="H10" s="5" t="s">
        <v>26</v>
      </c>
      <c r="I10" s="5" t="s">
        <v>67</v>
      </c>
      <c r="J10" s="5" t="s">
        <v>68</v>
      </c>
    </row>
    <row r="11" spans="1:11" ht="45.75" thickTop="1">
      <c r="A11" s="20" t="s">
        <v>63</v>
      </c>
      <c r="B11" s="20" t="s">
        <v>64</v>
      </c>
      <c r="C11" s="20" t="s">
        <v>13</v>
      </c>
      <c r="D11" s="20" t="s">
        <v>65</v>
      </c>
      <c r="E11" s="20" t="s">
        <v>66</v>
      </c>
      <c r="F11" s="20">
        <v>2025</v>
      </c>
      <c r="G11" s="21">
        <f>3383813.45+3653909.36</f>
        <v>7037722.8100000005</v>
      </c>
      <c r="H11" s="20" t="s">
        <v>72</v>
      </c>
      <c r="I11" s="20" t="s">
        <v>67</v>
      </c>
      <c r="J11" s="20" t="s">
        <v>68</v>
      </c>
    </row>
    <row r="12" spans="1:11" ht="45.75" thickBot="1">
      <c r="A12" s="41" t="s">
        <v>63</v>
      </c>
      <c r="B12" s="41" t="s">
        <v>64</v>
      </c>
      <c r="C12" s="41" t="s">
        <v>13</v>
      </c>
      <c r="D12" s="41" t="s">
        <v>65</v>
      </c>
      <c r="E12" s="41" t="s">
        <v>66</v>
      </c>
      <c r="F12" s="41">
        <v>2025</v>
      </c>
      <c r="G12" s="43">
        <f>953790.94+994284.99</f>
        <v>1948075.93</v>
      </c>
      <c r="H12" s="41" t="s">
        <v>26</v>
      </c>
      <c r="I12" s="41" t="s">
        <v>67</v>
      </c>
      <c r="J12" s="41" t="s">
        <v>68</v>
      </c>
    </row>
    <row r="13" spans="1:11" ht="15.75" thickTop="1"/>
    <row r="16" spans="1:11">
      <c r="F16" s="15"/>
      <c r="G16" s="15"/>
      <c r="H16" s="15"/>
    </row>
    <row r="17" spans="6:8">
      <c r="F17" s="7"/>
      <c r="G17" s="7"/>
      <c r="H17" s="7"/>
    </row>
    <row r="18" spans="6:8">
      <c r="F18" s="7"/>
      <c r="G18" s="7"/>
      <c r="H18" s="7"/>
    </row>
    <row r="19" spans="6:8">
      <c r="F19" s="7"/>
      <c r="G19" s="7"/>
      <c r="H19" s="7"/>
    </row>
    <row r="20" spans="6:8">
      <c r="F20" s="7"/>
      <c r="G20" s="7"/>
      <c r="H20" s="7"/>
    </row>
    <row r="21" spans="6:8">
      <c r="F21" s="7"/>
      <c r="G21" s="7"/>
      <c r="H21" s="7"/>
    </row>
    <row r="22" spans="6:8">
      <c r="F22" s="7"/>
      <c r="G22" s="7"/>
      <c r="H22" s="7"/>
    </row>
    <row r="23" spans="6:8">
      <c r="F23" s="7"/>
      <c r="G23" s="7"/>
      <c r="H23" s="7"/>
    </row>
    <row r="24" spans="6:8">
      <c r="F24" s="7"/>
      <c r="G24" s="7"/>
      <c r="H24" s="7"/>
    </row>
    <row r="25" spans="6:8">
      <c r="F25" s="7"/>
      <c r="G25" s="7"/>
      <c r="H25" s="7"/>
    </row>
    <row r="26" spans="6:8">
      <c r="F26" s="7"/>
      <c r="G26" s="7"/>
      <c r="H26" s="7"/>
    </row>
    <row r="27" spans="6:8">
      <c r="F27" s="7"/>
      <c r="G27" s="7"/>
      <c r="H27" s="7"/>
    </row>
    <row r="28" spans="6:8">
      <c r="F28" s="7"/>
      <c r="G28" s="7"/>
      <c r="H28" s="7"/>
    </row>
    <row r="29" spans="6:8">
      <c r="F29" s="7"/>
      <c r="G29" s="7"/>
      <c r="H29" s="7"/>
    </row>
    <row r="30" spans="6:8">
      <c r="F30" s="7"/>
      <c r="G30" s="7"/>
      <c r="H30" s="7"/>
    </row>
    <row r="31" spans="6:8">
      <c r="F31" s="7"/>
      <c r="G31" s="7"/>
      <c r="H31" s="7"/>
    </row>
    <row r="32" spans="6:8">
      <c r="F32" s="7"/>
      <c r="G32" s="7"/>
      <c r="H32" s="7"/>
    </row>
    <row r="33" spans="6:8">
      <c r="F33" s="7"/>
      <c r="G33" s="7"/>
      <c r="H33" s="7"/>
    </row>
    <row r="34" spans="6:8">
      <c r="F34" s="7"/>
      <c r="G34" s="7"/>
      <c r="H34" s="7"/>
    </row>
    <row r="35" spans="6:8">
      <c r="F35" s="7"/>
      <c r="G35" s="7"/>
      <c r="H35" s="7"/>
    </row>
    <row r="36" spans="6:8">
      <c r="F36" s="7"/>
      <c r="G36" s="7"/>
      <c r="H36" s="7"/>
    </row>
    <row r="37" spans="6:8">
      <c r="F37" s="7"/>
      <c r="G37" s="7"/>
      <c r="H37" s="7"/>
    </row>
    <row r="38" spans="6:8">
      <c r="F38" s="7"/>
      <c r="G38" s="7"/>
      <c r="H38" s="7"/>
    </row>
    <row r="39" spans="6:8">
      <c r="F39" s="7"/>
      <c r="G39" s="7"/>
      <c r="H39" s="7"/>
    </row>
    <row r="40" spans="6:8">
      <c r="F40" s="7"/>
      <c r="G40" s="7"/>
      <c r="H40" s="7"/>
    </row>
    <row r="41" spans="6:8">
      <c r="F41" s="7"/>
      <c r="G41" s="7"/>
      <c r="H41" s="7"/>
    </row>
  </sheetData>
  <autoFilter ref="A4:J5" xr:uid="{00000000-0009-0000-0000-000003000000}"/>
  <mergeCells count="3">
    <mergeCell ref="B3:J3"/>
    <mergeCell ref="A1:J1"/>
    <mergeCell ref="A2:J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M9"/>
  <sheetViews>
    <sheetView workbookViewId="0">
      <pane ySplit="4" topLeftCell="A5" activePane="bottomLeft" state="frozen"/>
      <selection pane="bottomLeft" activeCell="B3" sqref="B3:L3"/>
    </sheetView>
  </sheetViews>
  <sheetFormatPr defaultColWidth="9.140625" defaultRowHeight="15"/>
  <cols>
    <col min="1" max="5" width="20.7109375" style="1" customWidth="1"/>
    <col min="6" max="9" width="20.7109375" style="2" customWidth="1"/>
    <col min="10" max="13" width="20.7109375" style="1" customWidth="1"/>
    <col min="14" max="16384" width="9.140625" style="18"/>
  </cols>
  <sheetData>
    <row r="1" spans="1:13" ht="18.75" customHeight="1">
      <c r="A1" s="115" t="s">
        <v>81</v>
      </c>
      <c r="B1" s="115"/>
      <c r="C1" s="115"/>
      <c r="D1" s="115"/>
      <c r="E1" s="115"/>
      <c r="F1" s="115"/>
      <c r="G1" s="115"/>
      <c r="H1" s="115"/>
      <c r="I1" s="115"/>
      <c r="J1" s="115"/>
      <c r="K1" s="115"/>
      <c r="L1" s="115"/>
    </row>
    <row r="2" spans="1:13" ht="18.75">
      <c r="A2" s="127" t="s">
        <v>83</v>
      </c>
      <c r="B2" s="127"/>
      <c r="C2" s="127"/>
      <c r="D2" s="127"/>
      <c r="E2" s="127"/>
      <c r="F2" s="127"/>
      <c r="G2" s="127"/>
      <c r="H2" s="127"/>
      <c r="I2" s="127"/>
      <c r="J2" s="127"/>
      <c r="K2" s="127"/>
      <c r="L2" s="127"/>
    </row>
    <row r="3" spans="1:13" ht="18.75" customHeight="1">
      <c r="A3" s="27" t="s">
        <v>73</v>
      </c>
      <c r="B3" s="115" t="s">
        <v>74</v>
      </c>
      <c r="C3" s="115"/>
      <c r="D3" s="115"/>
      <c r="E3" s="115"/>
      <c r="F3" s="115"/>
      <c r="G3" s="115"/>
      <c r="H3" s="115"/>
      <c r="I3" s="115"/>
      <c r="J3" s="115"/>
      <c r="K3" s="115"/>
      <c r="L3" s="115"/>
    </row>
    <row r="4" spans="1:13" s="16" customFormat="1" ht="30">
      <c r="A4" s="28" t="s">
        <v>47</v>
      </c>
      <c r="B4" s="28" t="s">
        <v>75</v>
      </c>
      <c r="C4" s="28" t="s">
        <v>42</v>
      </c>
      <c r="D4" s="28" t="s">
        <v>62</v>
      </c>
      <c r="E4" s="28" t="s">
        <v>44</v>
      </c>
      <c r="F4" s="29" t="s">
        <v>466</v>
      </c>
      <c r="G4" s="29" t="s">
        <v>71</v>
      </c>
      <c r="H4" s="29" t="s">
        <v>467</v>
      </c>
      <c r="I4" s="29" t="s">
        <v>115</v>
      </c>
      <c r="J4" s="28" t="s">
        <v>76</v>
      </c>
      <c r="K4" s="28" t="s">
        <v>51</v>
      </c>
      <c r="L4" s="28" t="s">
        <v>8</v>
      </c>
      <c r="M4" s="17"/>
    </row>
    <row r="5" spans="1:13" s="1" customFormat="1" ht="60.75" thickBot="1">
      <c r="A5" s="5" t="s">
        <v>77</v>
      </c>
      <c r="B5" s="5" t="s">
        <v>78</v>
      </c>
      <c r="C5" s="5" t="s">
        <v>13</v>
      </c>
      <c r="D5" s="5" t="s">
        <v>79</v>
      </c>
      <c r="E5" s="5">
        <v>2022</v>
      </c>
      <c r="F5" s="6">
        <v>267467</v>
      </c>
      <c r="G5" s="6">
        <v>241314</v>
      </c>
      <c r="H5" s="6">
        <f>F5-G5</f>
        <v>26153</v>
      </c>
      <c r="I5" s="6" t="s">
        <v>26</v>
      </c>
      <c r="J5" s="5" t="s">
        <v>80</v>
      </c>
      <c r="K5" s="5" t="s">
        <v>67</v>
      </c>
      <c r="L5" s="5" t="s">
        <v>68</v>
      </c>
    </row>
    <row r="6" spans="1:13" s="1" customFormat="1" ht="61.5" thickTop="1" thickBot="1">
      <c r="A6" s="60" t="s">
        <v>77</v>
      </c>
      <c r="B6" s="60" t="s">
        <v>78</v>
      </c>
      <c r="C6" s="60" t="s">
        <v>13</v>
      </c>
      <c r="D6" s="60" t="s">
        <v>79</v>
      </c>
      <c r="E6" s="60">
        <v>2023</v>
      </c>
      <c r="F6" s="61">
        <v>262335</v>
      </c>
      <c r="G6" s="61">
        <v>278643</v>
      </c>
      <c r="H6" s="61">
        <f>F6-G6</f>
        <v>-16308</v>
      </c>
      <c r="I6" s="61" t="s">
        <v>26</v>
      </c>
      <c r="J6" s="60" t="s">
        <v>80</v>
      </c>
      <c r="K6" s="60" t="s">
        <v>67</v>
      </c>
      <c r="L6" s="60" t="s">
        <v>68</v>
      </c>
    </row>
    <row r="7" spans="1:13" s="1" customFormat="1" ht="61.5" thickTop="1" thickBot="1">
      <c r="A7" s="58" t="s">
        <v>77</v>
      </c>
      <c r="B7" s="58" t="s">
        <v>78</v>
      </c>
      <c r="C7" s="58" t="s">
        <v>13</v>
      </c>
      <c r="D7" s="58" t="s">
        <v>79</v>
      </c>
      <c r="E7" s="58">
        <v>2024</v>
      </c>
      <c r="F7" s="59">
        <v>182406</v>
      </c>
      <c r="G7" s="59">
        <v>175371</v>
      </c>
      <c r="H7" s="59">
        <f>F7-G7</f>
        <v>7035</v>
      </c>
      <c r="I7" s="59" t="s">
        <v>26</v>
      </c>
      <c r="J7" s="58" t="s">
        <v>80</v>
      </c>
      <c r="K7" s="58" t="s">
        <v>67</v>
      </c>
      <c r="L7" s="58" t="s">
        <v>68</v>
      </c>
    </row>
    <row r="8" spans="1:13" s="1" customFormat="1" ht="61.5" thickTop="1" thickBot="1">
      <c r="A8" s="60" t="s">
        <v>77</v>
      </c>
      <c r="B8" s="60" t="s">
        <v>78</v>
      </c>
      <c r="C8" s="60" t="s">
        <v>13</v>
      </c>
      <c r="D8" s="60" t="s">
        <v>79</v>
      </c>
      <c r="E8" s="60">
        <v>2025</v>
      </c>
      <c r="F8" s="61">
        <v>223484</v>
      </c>
      <c r="G8" s="61">
        <v>239789.6</v>
      </c>
      <c r="H8" s="61">
        <f>F8-G8</f>
        <v>-16305.600000000006</v>
      </c>
      <c r="I8" s="61" t="s">
        <v>26</v>
      </c>
      <c r="J8" s="60" t="s">
        <v>80</v>
      </c>
      <c r="K8" s="60" t="s">
        <v>67</v>
      </c>
      <c r="L8" s="60" t="s">
        <v>68</v>
      </c>
    </row>
    <row r="9" spans="1:13" ht="15.75" thickTop="1"/>
  </sheetData>
  <autoFilter ref="A4:L4" xr:uid="{00000000-0009-0000-0000-000004000000}"/>
  <mergeCells count="3">
    <mergeCell ref="B3:L3"/>
    <mergeCell ref="A1:L1"/>
    <mergeCell ref="A2:L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F4"/>
  <sheetViews>
    <sheetView workbookViewId="0">
      <pane ySplit="3" topLeftCell="A4" activePane="bottomLeft" state="frozen"/>
      <selection pane="bottomLeft" activeCell="B2" sqref="B2:F2"/>
    </sheetView>
  </sheetViews>
  <sheetFormatPr defaultColWidth="9.140625" defaultRowHeight="15"/>
  <cols>
    <col min="1" max="6" width="20.7109375" style="1" customWidth="1"/>
    <col min="7" max="16384" width="9.140625" style="1"/>
  </cols>
  <sheetData>
    <row r="1" spans="1:6" ht="18.75" customHeight="1">
      <c r="A1" s="128" t="s">
        <v>84</v>
      </c>
      <c r="B1" s="129"/>
      <c r="C1" s="129"/>
      <c r="D1" s="129"/>
      <c r="E1" s="129"/>
      <c r="F1" s="129"/>
    </row>
    <row r="2" spans="1:6" ht="18.75" customHeight="1">
      <c r="A2" s="24" t="s">
        <v>85</v>
      </c>
      <c r="B2" s="130" t="s">
        <v>86</v>
      </c>
      <c r="C2" s="130"/>
      <c r="D2" s="130"/>
      <c r="E2" s="130"/>
      <c r="F2" s="130"/>
    </row>
    <row r="3" spans="1:6" ht="30">
      <c r="A3" s="25" t="s">
        <v>87</v>
      </c>
      <c r="B3" s="25" t="s">
        <v>88</v>
      </c>
      <c r="C3" s="25" t="s">
        <v>89</v>
      </c>
      <c r="D3" s="25" t="s">
        <v>90</v>
      </c>
      <c r="E3" s="25" t="s">
        <v>91</v>
      </c>
      <c r="F3" s="25" t="s">
        <v>8</v>
      </c>
    </row>
    <row r="4" spans="1:6">
      <c r="A4" s="122" t="s">
        <v>52</v>
      </c>
      <c r="B4" s="122"/>
      <c r="C4" s="122"/>
      <c r="D4" s="122"/>
      <c r="E4" s="122"/>
      <c r="F4" s="122"/>
    </row>
  </sheetData>
  <mergeCells count="3">
    <mergeCell ref="A1:F1"/>
    <mergeCell ref="B2:F2"/>
    <mergeCell ref="A4:F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pageSetUpPr fitToPage="1"/>
  </sheetPr>
  <dimension ref="A1:M28"/>
  <sheetViews>
    <sheetView workbookViewId="0">
      <pane ySplit="3" topLeftCell="A21" activePane="bottomLeft" state="frozen"/>
      <selection pane="bottomLeft" activeCell="B2" sqref="B2:L2"/>
    </sheetView>
  </sheetViews>
  <sheetFormatPr defaultColWidth="9.140625" defaultRowHeight="15"/>
  <cols>
    <col min="1" max="4" width="20.7109375" style="1" customWidth="1"/>
    <col min="5" max="6" width="20.7109375" style="2" customWidth="1"/>
    <col min="7" max="7" width="20.7109375" style="1" customWidth="1"/>
    <col min="8" max="10" width="20.7109375" style="2" customWidth="1"/>
    <col min="11" max="13" width="20.7109375" style="1" customWidth="1"/>
    <col min="14" max="16384" width="9.140625" style="18"/>
  </cols>
  <sheetData>
    <row r="1" spans="1:13" ht="18.75" customHeight="1">
      <c r="A1" s="143" t="s">
        <v>92</v>
      </c>
      <c r="B1" s="143"/>
      <c r="C1" s="143"/>
      <c r="D1" s="143"/>
      <c r="E1" s="143"/>
      <c r="F1" s="143"/>
      <c r="G1" s="143"/>
      <c r="H1" s="143"/>
      <c r="I1" s="143"/>
      <c r="J1" s="143"/>
      <c r="K1" s="143"/>
      <c r="L1" s="143"/>
    </row>
    <row r="2" spans="1:13" ht="18.75" customHeight="1">
      <c r="A2" s="10" t="s">
        <v>93</v>
      </c>
      <c r="B2" s="143" t="s">
        <v>94</v>
      </c>
      <c r="C2" s="143"/>
      <c r="D2" s="143"/>
      <c r="E2" s="143"/>
      <c r="F2" s="143"/>
      <c r="G2" s="143"/>
      <c r="H2" s="143"/>
      <c r="I2" s="143"/>
      <c r="J2" s="143"/>
      <c r="K2" s="143"/>
      <c r="L2" s="143"/>
    </row>
    <row r="3" spans="1:13" s="16" customFormat="1" ht="75">
      <c r="A3" s="11" t="s">
        <v>98</v>
      </c>
      <c r="B3" s="11" t="s">
        <v>5</v>
      </c>
      <c r="C3" s="11" t="s">
        <v>108</v>
      </c>
      <c r="D3" s="11" t="s">
        <v>95</v>
      </c>
      <c r="E3" s="12" t="s">
        <v>96</v>
      </c>
      <c r="F3" s="12" t="s">
        <v>97</v>
      </c>
      <c r="G3" s="11" t="s">
        <v>44</v>
      </c>
      <c r="H3" s="12" t="s">
        <v>116</v>
      </c>
      <c r="I3" s="12" t="s">
        <v>117</v>
      </c>
      <c r="J3" s="12" t="s">
        <v>115</v>
      </c>
      <c r="K3" s="11" t="s">
        <v>51</v>
      </c>
      <c r="L3" s="11" t="s">
        <v>8</v>
      </c>
      <c r="M3" s="17"/>
    </row>
    <row r="4" spans="1:13" ht="30">
      <c r="A4" s="3" t="s">
        <v>99</v>
      </c>
      <c r="B4" s="3" t="s">
        <v>100</v>
      </c>
      <c r="C4" s="3" t="s">
        <v>101</v>
      </c>
      <c r="D4" s="3" t="s">
        <v>102</v>
      </c>
      <c r="E4" s="4" t="s">
        <v>103</v>
      </c>
      <c r="F4" s="4" t="s">
        <v>104</v>
      </c>
      <c r="G4" s="3">
        <v>2022</v>
      </c>
      <c r="H4" s="4">
        <v>1874</v>
      </c>
      <c r="I4" s="4" t="s">
        <v>118</v>
      </c>
      <c r="J4" s="4" t="s">
        <v>771</v>
      </c>
      <c r="K4" s="3" t="s">
        <v>67</v>
      </c>
      <c r="L4" s="3" t="s">
        <v>17</v>
      </c>
    </row>
    <row r="5" spans="1:13" ht="45">
      <c r="A5" s="3" t="s">
        <v>110</v>
      </c>
      <c r="B5" s="3" t="s">
        <v>429</v>
      </c>
      <c r="C5" s="3" t="s">
        <v>105</v>
      </c>
      <c r="D5" s="3" t="s">
        <v>106</v>
      </c>
      <c r="E5" s="4" t="s">
        <v>109</v>
      </c>
      <c r="F5" s="4" t="s">
        <v>104</v>
      </c>
      <c r="G5" s="137">
        <v>2022</v>
      </c>
      <c r="H5" s="140">
        <v>249463</v>
      </c>
      <c r="I5" s="4">
        <v>43642</v>
      </c>
      <c r="J5" s="4" t="s">
        <v>771</v>
      </c>
      <c r="K5" s="3" t="s">
        <v>67</v>
      </c>
      <c r="L5" s="3" t="s">
        <v>17</v>
      </c>
    </row>
    <row r="6" spans="1:13" ht="75">
      <c r="A6" s="3" t="s">
        <v>112</v>
      </c>
      <c r="B6" s="3" t="s">
        <v>429</v>
      </c>
      <c r="C6" s="3" t="s">
        <v>105</v>
      </c>
      <c r="D6" s="3" t="s">
        <v>106</v>
      </c>
      <c r="E6" s="4" t="s">
        <v>109</v>
      </c>
      <c r="F6" s="4" t="s">
        <v>104</v>
      </c>
      <c r="G6" s="138"/>
      <c r="H6" s="141"/>
      <c r="I6" s="4">
        <v>247241.36</v>
      </c>
      <c r="J6" s="4" t="s">
        <v>771</v>
      </c>
      <c r="K6" s="3" t="s">
        <v>67</v>
      </c>
      <c r="L6" s="3" t="s">
        <v>17</v>
      </c>
    </row>
    <row r="7" spans="1:13" ht="30">
      <c r="A7" s="3" t="s">
        <v>111</v>
      </c>
      <c r="B7" s="3" t="s">
        <v>429</v>
      </c>
      <c r="C7" s="3" t="s">
        <v>105</v>
      </c>
      <c r="D7" s="3" t="s">
        <v>106</v>
      </c>
      <c r="E7" s="4" t="s">
        <v>109</v>
      </c>
      <c r="F7" s="4" t="s">
        <v>104</v>
      </c>
      <c r="G7" s="138"/>
      <c r="H7" s="141"/>
      <c r="I7" s="4">
        <v>37054.800000000003</v>
      </c>
      <c r="J7" s="4" t="s">
        <v>771</v>
      </c>
      <c r="K7" s="3" t="s">
        <v>67</v>
      </c>
      <c r="L7" s="3" t="s">
        <v>17</v>
      </c>
    </row>
    <row r="8" spans="1:13" ht="30">
      <c r="A8" s="3" t="s">
        <v>113</v>
      </c>
      <c r="B8" s="3" t="s">
        <v>429</v>
      </c>
      <c r="C8" s="3" t="s">
        <v>105</v>
      </c>
      <c r="D8" s="3" t="s">
        <v>106</v>
      </c>
      <c r="E8" s="4" t="s">
        <v>109</v>
      </c>
      <c r="F8" s="4" t="s">
        <v>104</v>
      </c>
      <c r="G8" s="139"/>
      <c r="H8" s="142"/>
      <c r="I8" s="4">
        <v>22863.599999999999</v>
      </c>
      <c r="J8" s="4" t="s">
        <v>771</v>
      </c>
      <c r="K8" s="3" t="s">
        <v>67</v>
      </c>
      <c r="L8" s="3" t="s">
        <v>17</v>
      </c>
    </row>
    <row r="9" spans="1:13" ht="60.75" thickBot="1">
      <c r="A9" s="64" t="s">
        <v>114</v>
      </c>
      <c r="B9" s="64" t="s">
        <v>429</v>
      </c>
      <c r="C9" s="64" t="s">
        <v>105</v>
      </c>
      <c r="D9" s="64" t="s">
        <v>106</v>
      </c>
      <c r="E9" s="65" t="s">
        <v>107</v>
      </c>
      <c r="F9" s="65" t="s">
        <v>104</v>
      </c>
      <c r="G9" s="64">
        <v>2022</v>
      </c>
      <c r="H9" s="65">
        <v>97757</v>
      </c>
      <c r="I9" s="65" t="s">
        <v>118</v>
      </c>
      <c r="J9" s="65" t="s">
        <v>771</v>
      </c>
      <c r="K9" s="64" t="s">
        <v>67</v>
      </c>
      <c r="L9" s="64" t="s">
        <v>17</v>
      </c>
    </row>
    <row r="10" spans="1:13" ht="30.75" thickTop="1">
      <c r="A10" s="20" t="s">
        <v>99</v>
      </c>
      <c r="B10" s="20" t="s">
        <v>100</v>
      </c>
      <c r="C10" s="20" t="s">
        <v>101</v>
      </c>
      <c r="D10" s="20" t="s">
        <v>102</v>
      </c>
      <c r="E10" s="21" t="s">
        <v>103</v>
      </c>
      <c r="F10" s="21" t="s">
        <v>104</v>
      </c>
      <c r="G10" s="20">
        <v>2023</v>
      </c>
      <c r="H10" s="21">
        <v>673</v>
      </c>
      <c r="I10" s="21" t="s">
        <v>118</v>
      </c>
      <c r="J10" s="21" t="s">
        <v>771</v>
      </c>
      <c r="K10" s="20" t="s">
        <v>67</v>
      </c>
      <c r="L10" s="20" t="s">
        <v>17</v>
      </c>
    </row>
    <row r="11" spans="1:13" ht="45">
      <c r="A11" s="19" t="s">
        <v>110</v>
      </c>
      <c r="B11" s="19" t="s">
        <v>429</v>
      </c>
      <c r="C11" s="19" t="s">
        <v>105</v>
      </c>
      <c r="D11" s="19" t="s">
        <v>106</v>
      </c>
      <c r="E11" s="22" t="s">
        <v>109</v>
      </c>
      <c r="F11" s="22" t="s">
        <v>104</v>
      </c>
      <c r="G11" s="131">
        <v>2023</v>
      </c>
      <c r="H11" s="134">
        <f>110534+118409</f>
        <v>228943</v>
      </c>
      <c r="I11" s="22">
        <v>43642</v>
      </c>
      <c r="J11" s="22" t="s">
        <v>771</v>
      </c>
      <c r="K11" s="19" t="s">
        <v>67</v>
      </c>
      <c r="L11" s="19" t="s">
        <v>17</v>
      </c>
    </row>
    <row r="12" spans="1:13" ht="75">
      <c r="A12" s="19" t="s">
        <v>112</v>
      </c>
      <c r="B12" s="19" t="s">
        <v>429</v>
      </c>
      <c r="C12" s="19" t="s">
        <v>105</v>
      </c>
      <c r="D12" s="19" t="s">
        <v>106</v>
      </c>
      <c r="E12" s="22" t="s">
        <v>109</v>
      </c>
      <c r="F12" s="22" t="s">
        <v>104</v>
      </c>
      <c r="G12" s="132"/>
      <c r="H12" s="135"/>
      <c r="I12" s="22">
        <v>247241.36</v>
      </c>
      <c r="J12" s="22" t="s">
        <v>771</v>
      </c>
      <c r="K12" s="19" t="s">
        <v>67</v>
      </c>
      <c r="L12" s="19" t="s">
        <v>17</v>
      </c>
    </row>
    <row r="13" spans="1:13" ht="30">
      <c r="A13" s="19" t="s">
        <v>111</v>
      </c>
      <c r="B13" s="19" t="s">
        <v>429</v>
      </c>
      <c r="C13" s="19" t="s">
        <v>105</v>
      </c>
      <c r="D13" s="19" t="s">
        <v>106</v>
      </c>
      <c r="E13" s="22" t="s">
        <v>109</v>
      </c>
      <c r="F13" s="22" t="s">
        <v>104</v>
      </c>
      <c r="G13" s="132"/>
      <c r="H13" s="135"/>
      <c r="I13" s="22">
        <v>37054.800000000003</v>
      </c>
      <c r="J13" s="22" t="s">
        <v>771</v>
      </c>
      <c r="K13" s="19" t="s">
        <v>67</v>
      </c>
      <c r="L13" s="19" t="s">
        <v>17</v>
      </c>
    </row>
    <row r="14" spans="1:13" ht="30">
      <c r="A14" s="19" t="s">
        <v>113</v>
      </c>
      <c r="B14" s="19" t="s">
        <v>429</v>
      </c>
      <c r="C14" s="19" t="s">
        <v>105</v>
      </c>
      <c r="D14" s="19" t="s">
        <v>106</v>
      </c>
      <c r="E14" s="22" t="s">
        <v>109</v>
      </c>
      <c r="F14" s="22" t="s">
        <v>104</v>
      </c>
      <c r="G14" s="133"/>
      <c r="H14" s="136"/>
      <c r="I14" s="22">
        <v>22863.599999999999</v>
      </c>
      <c r="J14" s="22" t="s">
        <v>771</v>
      </c>
      <c r="K14" s="19" t="s">
        <v>67</v>
      </c>
      <c r="L14" s="19" t="s">
        <v>17</v>
      </c>
    </row>
    <row r="15" spans="1:13" ht="60.75" thickBot="1">
      <c r="A15" s="62" t="s">
        <v>114</v>
      </c>
      <c r="B15" s="62" t="s">
        <v>429</v>
      </c>
      <c r="C15" s="62" t="s">
        <v>105</v>
      </c>
      <c r="D15" s="62" t="s">
        <v>106</v>
      </c>
      <c r="E15" s="63" t="s">
        <v>107</v>
      </c>
      <c r="F15" s="63" t="s">
        <v>104</v>
      </c>
      <c r="G15" s="62">
        <v>2023</v>
      </c>
      <c r="H15" s="63">
        <v>115757</v>
      </c>
      <c r="I15" s="63" t="s">
        <v>118</v>
      </c>
      <c r="J15" s="63" t="s">
        <v>771</v>
      </c>
      <c r="K15" s="62" t="s">
        <v>67</v>
      </c>
      <c r="L15" s="62" t="s">
        <v>17</v>
      </c>
    </row>
    <row r="16" spans="1:13" ht="30.75" thickTop="1">
      <c r="A16" s="38" t="s">
        <v>99</v>
      </c>
      <c r="B16" s="38" t="s">
        <v>100</v>
      </c>
      <c r="C16" s="38" t="s">
        <v>101</v>
      </c>
      <c r="D16" s="38" t="s">
        <v>102</v>
      </c>
      <c r="E16" s="40" t="s">
        <v>103</v>
      </c>
      <c r="F16" s="40" t="s">
        <v>104</v>
      </c>
      <c r="G16" s="38">
        <v>2024</v>
      </c>
      <c r="H16" s="40">
        <v>1539</v>
      </c>
      <c r="I16" s="40" t="s">
        <v>118</v>
      </c>
      <c r="J16" s="40" t="s">
        <v>771</v>
      </c>
      <c r="K16" s="38" t="s">
        <v>67</v>
      </c>
      <c r="L16" s="38" t="s">
        <v>17</v>
      </c>
    </row>
    <row r="17" spans="1:12" ht="45">
      <c r="A17" s="3" t="s">
        <v>551</v>
      </c>
      <c r="B17" s="3" t="s">
        <v>429</v>
      </c>
      <c r="C17" s="3" t="s">
        <v>105</v>
      </c>
      <c r="D17" s="3" t="s">
        <v>106</v>
      </c>
      <c r="E17" s="4" t="s">
        <v>109</v>
      </c>
      <c r="F17" s="4" t="s">
        <v>104</v>
      </c>
      <c r="G17" s="137">
        <v>2024</v>
      </c>
      <c r="H17" s="140">
        <f>86560+118653</f>
        <v>205213</v>
      </c>
      <c r="I17" s="4">
        <v>43642</v>
      </c>
      <c r="J17" s="4" t="s">
        <v>771</v>
      </c>
      <c r="K17" s="3" t="s">
        <v>67</v>
      </c>
      <c r="L17" s="3" t="s">
        <v>17</v>
      </c>
    </row>
    <row r="18" spans="1:12" ht="75">
      <c r="A18" s="3" t="s">
        <v>112</v>
      </c>
      <c r="B18" s="3" t="s">
        <v>429</v>
      </c>
      <c r="C18" s="3" t="s">
        <v>105</v>
      </c>
      <c r="D18" s="3" t="s">
        <v>106</v>
      </c>
      <c r="E18" s="4" t="s">
        <v>109</v>
      </c>
      <c r="F18" s="4" t="s">
        <v>104</v>
      </c>
      <c r="G18" s="138"/>
      <c r="H18" s="141"/>
      <c r="I18" s="4">
        <v>247241.36</v>
      </c>
      <c r="J18" s="4" t="s">
        <v>771</v>
      </c>
      <c r="K18" s="3" t="s">
        <v>67</v>
      </c>
      <c r="L18" s="3" t="s">
        <v>17</v>
      </c>
    </row>
    <row r="19" spans="1:12" ht="30">
      <c r="A19" s="3" t="s">
        <v>111</v>
      </c>
      <c r="B19" s="3" t="s">
        <v>429</v>
      </c>
      <c r="C19" s="3" t="s">
        <v>105</v>
      </c>
      <c r="D19" s="3" t="s">
        <v>106</v>
      </c>
      <c r="E19" s="4" t="s">
        <v>109</v>
      </c>
      <c r="F19" s="4" t="s">
        <v>104</v>
      </c>
      <c r="G19" s="138"/>
      <c r="H19" s="141"/>
      <c r="I19" s="4">
        <v>37054.800000000003</v>
      </c>
      <c r="J19" s="4" t="s">
        <v>771</v>
      </c>
      <c r="K19" s="3" t="s">
        <v>67</v>
      </c>
      <c r="L19" s="3" t="s">
        <v>17</v>
      </c>
    </row>
    <row r="20" spans="1:12" ht="30">
      <c r="A20" s="3" t="s">
        <v>113</v>
      </c>
      <c r="B20" s="3" t="s">
        <v>429</v>
      </c>
      <c r="C20" s="3" t="s">
        <v>105</v>
      </c>
      <c r="D20" s="3" t="s">
        <v>106</v>
      </c>
      <c r="E20" s="4" t="s">
        <v>109</v>
      </c>
      <c r="F20" s="4" t="s">
        <v>104</v>
      </c>
      <c r="G20" s="139"/>
      <c r="H20" s="142"/>
      <c r="I20" s="4">
        <v>22863.599999999999</v>
      </c>
      <c r="J20" s="4" t="s">
        <v>771</v>
      </c>
      <c r="K20" s="3" t="s">
        <v>67</v>
      </c>
      <c r="L20" s="3" t="s">
        <v>17</v>
      </c>
    </row>
    <row r="21" spans="1:12" ht="60.75" thickBot="1">
      <c r="A21" s="64" t="s">
        <v>114</v>
      </c>
      <c r="B21" s="64" t="s">
        <v>429</v>
      </c>
      <c r="C21" s="64" t="s">
        <v>105</v>
      </c>
      <c r="D21" s="64" t="s">
        <v>106</v>
      </c>
      <c r="E21" s="65" t="s">
        <v>107</v>
      </c>
      <c r="F21" s="65" t="s">
        <v>104</v>
      </c>
      <c r="G21" s="64">
        <v>2024</v>
      </c>
      <c r="H21" s="65">
        <v>96853</v>
      </c>
      <c r="I21" s="65" t="s">
        <v>118</v>
      </c>
      <c r="J21" s="65" t="s">
        <v>771</v>
      </c>
      <c r="K21" s="64" t="s">
        <v>67</v>
      </c>
      <c r="L21" s="64" t="s">
        <v>17</v>
      </c>
    </row>
    <row r="22" spans="1:12" ht="30.75" thickTop="1">
      <c r="A22" s="20" t="s">
        <v>99</v>
      </c>
      <c r="B22" s="20" t="s">
        <v>100</v>
      </c>
      <c r="C22" s="20" t="s">
        <v>101</v>
      </c>
      <c r="D22" s="20" t="s">
        <v>102</v>
      </c>
      <c r="E22" s="21" t="s">
        <v>103</v>
      </c>
      <c r="F22" s="21" t="s">
        <v>104</v>
      </c>
      <c r="G22" s="20">
        <v>2025</v>
      </c>
      <c r="H22" s="21">
        <v>1850</v>
      </c>
      <c r="I22" s="21" t="s">
        <v>118</v>
      </c>
      <c r="J22" s="21" t="s">
        <v>771</v>
      </c>
      <c r="K22" s="20" t="s">
        <v>67</v>
      </c>
      <c r="L22" s="20" t="s">
        <v>17</v>
      </c>
    </row>
    <row r="23" spans="1:12" ht="45">
      <c r="A23" s="19" t="s">
        <v>551</v>
      </c>
      <c r="B23" s="19" t="s">
        <v>429</v>
      </c>
      <c r="C23" s="19" t="s">
        <v>105</v>
      </c>
      <c r="D23" s="19" t="s">
        <v>106</v>
      </c>
      <c r="E23" s="22" t="s">
        <v>109</v>
      </c>
      <c r="F23" s="22" t="s">
        <v>104</v>
      </c>
      <c r="G23" s="131">
        <v>2025</v>
      </c>
      <c r="H23" s="134">
        <f>96685+146456</f>
        <v>243141</v>
      </c>
      <c r="I23" s="22">
        <v>43642</v>
      </c>
      <c r="J23" s="22" t="s">
        <v>771</v>
      </c>
      <c r="K23" s="19" t="s">
        <v>67</v>
      </c>
      <c r="L23" s="19" t="s">
        <v>17</v>
      </c>
    </row>
    <row r="24" spans="1:12" ht="75">
      <c r="A24" s="19" t="s">
        <v>112</v>
      </c>
      <c r="B24" s="19" t="s">
        <v>429</v>
      </c>
      <c r="C24" s="19" t="s">
        <v>105</v>
      </c>
      <c r="D24" s="19" t="s">
        <v>106</v>
      </c>
      <c r="E24" s="22" t="s">
        <v>109</v>
      </c>
      <c r="F24" s="22" t="s">
        <v>104</v>
      </c>
      <c r="G24" s="132"/>
      <c r="H24" s="135"/>
      <c r="I24" s="22">
        <v>247241.36</v>
      </c>
      <c r="J24" s="22" t="s">
        <v>771</v>
      </c>
      <c r="K24" s="19" t="s">
        <v>67</v>
      </c>
      <c r="L24" s="19" t="s">
        <v>17</v>
      </c>
    </row>
    <row r="25" spans="1:12" ht="30">
      <c r="A25" s="19" t="s">
        <v>111</v>
      </c>
      <c r="B25" s="19" t="s">
        <v>429</v>
      </c>
      <c r="C25" s="19" t="s">
        <v>105</v>
      </c>
      <c r="D25" s="19" t="s">
        <v>106</v>
      </c>
      <c r="E25" s="22" t="s">
        <v>109</v>
      </c>
      <c r="F25" s="22" t="s">
        <v>104</v>
      </c>
      <c r="G25" s="132"/>
      <c r="H25" s="135"/>
      <c r="I25" s="22">
        <v>37054.800000000003</v>
      </c>
      <c r="J25" s="22" t="s">
        <v>771</v>
      </c>
      <c r="K25" s="19" t="s">
        <v>67</v>
      </c>
      <c r="L25" s="19" t="s">
        <v>17</v>
      </c>
    </row>
    <row r="26" spans="1:12" ht="30">
      <c r="A26" s="19" t="s">
        <v>113</v>
      </c>
      <c r="B26" s="19" t="s">
        <v>429</v>
      </c>
      <c r="C26" s="19" t="s">
        <v>105</v>
      </c>
      <c r="D26" s="19" t="s">
        <v>106</v>
      </c>
      <c r="E26" s="22" t="s">
        <v>109</v>
      </c>
      <c r="F26" s="22" t="s">
        <v>104</v>
      </c>
      <c r="G26" s="133"/>
      <c r="H26" s="136"/>
      <c r="I26" s="22">
        <v>22863.599999999999</v>
      </c>
      <c r="J26" s="22" t="s">
        <v>771</v>
      </c>
      <c r="K26" s="19" t="s">
        <v>67</v>
      </c>
      <c r="L26" s="19" t="s">
        <v>17</v>
      </c>
    </row>
    <row r="27" spans="1:12" ht="60.75" thickBot="1">
      <c r="A27" s="62" t="s">
        <v>114</v>
      </c>
      <c r="B27" s="62" t="s">
        <v>429</v>
      </c>
      <c r="C27" s="62" t="s">
        <v>105</v>
      </c>
      <c r="D27" s="62" t="s">
        <v>106</v>
      </c>
      <c r="E27" s="63" t="s">
        <v>107</v>
      </c>
      <c r="F27" s="63" t="s">
        <v>104</v>
      </c>
      <c r="G27" s="62">
        <v>2025</v>
      </c>
      <c r="H27" s="63">
        <v>109357</v>
      </c>
      <c r="I27" s="63" t="s">
        <v>118</v>
      </c>
      <c r="J27" s="63" t="s">
        <v>771</v>
      </c>
      <c r="K27" s="62" t="s">
        <v>67</v>
      </c>
      <c r="L27" s="62" t="s">
        <v>17</v>
      </c>
    </row>
    <row r="28" spans="1:12" ht="15.75" thickTop="1"/>
  </sheetData>
  <autoFilter ref="A3:L3" xr:uid="{00000000-0009-0000-0000-000006000000}"/>
  <mergeCells count="10">
    <mergeCell ref="G23:G26"/>
    <mergeCell ref="H23:H26"/>
    <mergeCell ref="G17:G20"/>
    <mergeCell ref="H17:H20"/>
    <mergeCell ref="A1:L1"/>
    <mergeCell ref="B2:L2"/>
    <mergeCell ref="G5:G8"/>
    <mergeCell ref="H5:H8"/>
    <mergeCell ref="G11:G14"/>
    <mergeCell ref="H11:H14"/>
  </mergeCells>
  <conditionalFormatting sqref="H5:H8">
    <cfRule type="cellIs" dxfId="104" priority="4" operator="greaterThan">
      <formula>$I$5+$I$6+$I$7+$I$8</formula>
    </cfRule>
  </conditionalFormatting>
  <conditionalFormatting sqref="H11:H14">
    <cfRule type="cellIs" dxfId="103" priority="3" operator="greaterThan">
      <formula>$I$5+$I$6+$I$7+$I$8</formula>
    </cfRule>
  </conditionalFormatting>
  <conditionalFormatting sqref="H17:H20">
    <cfRule type="cellIs" dxfId="102" priority="2" operator="greaterThan">
      <formula>$I$5+$I$6+$I$7+$I$8</formula>
    </cfRule>
  </conditionalFormatting>
  <conditionalFormatting sqref="H23:H26">
    <cfRule type="cellIs" dxfId="101" priority="1" operator="greaterThan">
      <formula>$I$5+$I$6+$I$7+$I$8</formula>
    </cfRule>
  </conditionalFormatting>
  <pageMargins left="0.7" right="0.7" top="0.75" bottom="0.75" header="0.3" footer="0.3"/>
  <pageSetup paperSize="8"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E5FF"/>
  </sheetPr>
  <dimension ref="A1:J17"/>
  <sheetViews>
    <sheetView workbookViewId="0">
      <pane ySplit="3" topLeftCell="A11" activePane="bottomLeft" state="frozen"/>
      <selection pane="bottomLeft" activeCell="B2" sqref="B2:I2"/>
    </sheetView>
  </sheetViews>
  <sheetFormatPr defaultColWidth="9.140625" defaultRowHeight="15"/>
  <cols>
    <col min="1" max="3" width="20.7109375" style="1" customWidth="1"/>
    <col min="4" max="4" width="20.7109375" style="2" customWidth="1"/>
    <col min="5" max="5" width="20.7109375" style="1" customWidth="1"/>
    <col min="6" max="7" width="20.7109375" style="2" customWidth="1"/>
    <col min="8" max="10" width="20.7109375" style="1" customWidth="1"/>
    <col min="11" max="16384" width="9.140625" style="18"/>
  </cols>
  <sheetData>
    <row r="1" spans="1:10" ht="18.75" customHeight="1">
      <c r="A1" s="144" t="s">
        <v>119</v>
      </c>
      <c r="B1" s="144"/>
      <c r="C1" s="144"/>
      <c r="D1" s="144"/>
      <c r="E1" s="144"/>
      <c r="F1" s="144"/>
      <c r="G1" s="144"/>
      <c r="H1" s="144"/>
      <c r="I1" s="144"/>
    </row>
    <row r="2" spans="1:10" ht="18.75" customHeight="1">
      <c r="A2" s="30" t="s">
        <v>121</v>
      </c>
      <c r="B2" s="144" t="s">
        <v>120</v>
      </c>
      <c r="C2" s="144"/>
      <c r="D2" s="144"/>
      <c r="E2" s="144"/>
      <c r="F2" s="144"/>
      <c r="G2" s="144"/>
      <c r="H2" s="144"/>
      <c r="I2" s="144"/>
    </row>
    <row r="3" spans="1:10" s="16" customFormat="1" ht="75" customHeight="1">
      <c r="A3" s="145" t="s">
        <v>122</v>
      </c>
      <c r="B3" s="146"/>
      <c r="C3" s="31" t="s">
        <v>5</v>
      </c>
      <c r="D3" s="32" t="s">
        <v>97</v>
      </c>
      <c r="E3" s="31" t="s">
        <v>44</v>
      </c>
      <c r="F3" s="32" t="s">
        <v>43</v>
      </c>
      <c r="G3" s="32" t="s">
        <v>115</v>
      </c>
      <c r="H3" s="31" t="s">
        <v>51</v>
      </c>
      <c r="I3" s="31" t="s">
        <v>8</v>
      </c>
      <c r="J3" s="17"/>
    </row>
    <row r="4" spans="1:10" ht="45">
      <c r="A4" s="137" t="s">
        <v>130</v>
      </c>
      <c r="B4" s="3" t="s">
        <v>126</v>
      </c>
      <c r="C4" s="3" t="s">
        <v>123</v>
      </c>
      <c r="D4" s="4" t="s">
        <v>132</v>
      </c>
      <c r="E4" s="3">
        <v>2022</v>
      </c>
      <c r="F4" s="4">
        <v>20867.850999999999</v>
      </c>
      <c r="G4" s="4" t="s">
        <v>134</v>
      </c>
      <c r="H4" s="3" t="s">
        <v>133</v>
      </c>
      <c r="I4" s="3" t="s">
        <v>17</v>
      </c>
    </row>
    <row r="5" spans="1:10" ht="45.75" thickBot="1">
      <c r="A5" s="147"/>
      <c r="B5" s="5" t="s">
        <v>128</v>
      </c>
      <c r="C5" s="5" t="s">
        <v>124</v>
      </c>
      <c r="D5" s="6" t="s">
        <v>132</v>
      </c>
      <c r="E5" s="5">
        <v>2022</v>
      </c>
      <c r="F5" s="100">
        <v>2314445</v>
      </c>
      <c r="G5" s="6" t="s">
        <v>772</v>
      </c>
      <c r="H5" s="5" t="s">
        <v>133</v>
      </c>
      <c r="I5" s="5" t="s">
        <v>17</v>
      </c>
    </row>
    <row r="6" spans="1:10" ht="45.75" thickTop="1">
      <c r="A6" s="132" t="s">
        <v>130</v>
      </c>
      <c r="B6" s="20" t="s">
        <v>126</v>
      </c>
      <c r="C6" s="20" t="s">
        <v>123</v>
      </c>
      <c r="D6" s="21" t="s">
        <v>132</v>
      </c>
      <c r="E6" s="20">
        <v>2023</v>
      </c>
      <c r="F6" s="21">
        <v>19710.356</v>
      </c>
      <c r="G6" s="21" t="s">
        <v>134</v>
      </c>
      <c r="H6" s="20" t="s">
        <v>133</v>
      </c>
      <c r="I6" s="20" t="s">
        <v>17</v>
      </c>
    </row>
    <row r="7" spans="1:10" ht="60">
      <c r="A7" s="132"/>
      <c r="B7" s="19" t="s">
        <v>127</v>
      </c>
      <c r="C7" s="19" t="s">
        <v>123</v>
      </c>
      <c r="D7" s="22" t="s">
        <v>132</v>
      </c>
      <c r="E7" s="19">
        <v>2023</v>
      </c>
      <c r="F7" s="22">
        <v>129384.29</v>
      </c>
      <c r="G7" s="22" t="s">
        <v>135</v>
      </c>
      <c r="H7" s="19" t="s">
        <v>133</v>
      </c>
      <c r="I7" s="19" t="s">
        <v>17</v>
      </c>
    </row>
    <row r="8" spans="1:10" ht="45">
      <c r="A8" s="133"/>
      <c r="B8" s="19" t="s">
        <v>128</v>
      </c>
      <c r="C8" s="19" t="s">
        <v>124</v>
      </c>
      <c r="D8" s="22" t="s">
        <v>132</v>
      </c>
      <c r="E8" s="19">
        <v>2023</v>
      </c>
      <c r="F8" s="99">
        <v>2313123</v>
      </c>
      <c r="G8" s="22" t="s">
        <v>772</v>
      </c>
      <c r="H8" s="19" t="s">
        <v>133</v>
      </c>
      <c r="I8" s="19" t="s">
        <v>17</v>
      </c>
    </row>
    <row r="9" spans="1:10" ht="60.75" thickBot="1">
      <c r="A9" s="62" t="s">
        <v>131</v>
      </c>
      <c r="B9" s="62" t="s">
        <v>129</v>
      </c>
      <c r="C9" s="62" t="s">
        <v>125</v>
      </c>
      <c r="D9" s="63" t="s">
        <v>132</v>
      </c>
      <c r="E9" s="62">
        <v>2023</v>
      </c>
      <c r="F9" s="63">
        <v>0</v>
      </c>
      <c r="G9" s="63" t="s">
        <v>135</v>
      </c>
      <c r="H9" s="62" t="s">
        <v>133</v>
      </c>
      <c r="I9" s="62" t="s">
        <v>17</v>
      </c>
    </row>
    <row r="10" spans="1:10" ht="45.75" thickTop="1">
      <c r="A10" s="138" t="s">
        <v>130</v>
      </c>
      <c r="B10" s="38" t="s">
        <v>126</v>
      </c>
      <c r="C10" s="38" t="s">
        <v>123</v>
      </c>
      <c r="D10" s="40" t="s">
        <v>132</v>
      </c>
      <c r="E10" s="38">
        <v>2024</v>
      </c>
      <c r="F10" s="40">
        <v>19035.442999999999</v>
      </c>
      <c r="G10" s="40" t="s">
        <v>134</v>
      </c>
      <c r="H10" s="38" t="s">
        <v>133</v>
      </c>
      <c r="I10" s="38" t="s">
        <v>17</v>
      </c>
    </row>
    <row r="11" spans="1:10" ht="60">
      <c r="A11" s="138"/>
      <c r="B11" s="3" t="s">
        <v>127</v>
      </c>
      <c r="C11" s="3" t="s">
        <v>123</v>
      </c>
      <c r="D11" s="4" t="s">
        <v>132</v>
      </c>
      <c r="E11" s="3">
        <v>2024</v>
      </c>
      <c r="F11" s="4">
        <v>149454.32</v>
      </c>
      <c r="G11" s="4" t="s">
        <v>135</v>
      </c>
      <c r="H11" s="3" t="s">
        <v>133</v>
      </c>
      <c r="I11" s="3" t="s">
        <v>17</v>
      </c>
    </row>
    <row r="12" spans="1:10" ht="45">
      <c r="A12" s="139"/>
      <c r="B12" s="3" t="s">
        <v>128</v>
      </c>
      <c r="C12" s="3" t="s">
        <v>124</v>
      </c>
      <c r="D12" s="4" t="s">
        <v>132</v>
      </c>
      <c r="E12" s="3">
        <v>2024</v>
      </c>
      <c r="F12" s="47">
        <v>2170322</v>
      </c>
      <c r="G12" s="4" t="s">
        <v>772</v>
      </c>
      <c r="H12" s="3" t="s">
        <v>133</v>
      </c>
      <c r="I12" s="3" t="s">
        <v>17</v>
      </c>
    </row>
    <row r="13" spans="1:10" ht="60.75" thickBot="1">
      <c r="A13" s="5" t="s">
        <v>131</v>
      </c>
      <c r="B13" s="5" t="s">
        <v>129</v>
      </c>
      <c r="C13" s="5" t="s">
        <v>125</v>
      </c>
      <c r="D13" s="6" t="s">
        <v>132</v>
      </c>
      <c r="E13" s="5">
        <v>2024</v>
      </c>
      <c r="F13" s="6">
        <v>0</v>
      </c>
      <c r="G13" s="6" t="s">
        <v>135</v>
      </c>
      <c r="H13" s="5" t="s">
        <v>133</v>
      </c>
      <c r="I13" s="5" t="s">
        <v>17</v>
      </c>
    </row>
    <row r="14" spans="1:10" ht="45.75" thickTop="1">
      <c r="A14" s="132" t="s">
        <v>130</v>
      </c>
      <c r="B14" s="20" t="s">
        <v>126</v>
      </c>
      <c r="C14" s="20" t="s">
        <v>123</v>
      </c>
      <c r="D14" s="21" t="s">
        <v>132</v>
      </c>
      <c r="E14" s="20">
        <v>2025</v>
      </c>
      <c r="F14" s="21">
        <v>20426.503000000001</v>
      </c>
      <c r="G14" s="21" t="s">
        <v>134</v>
      </c>
      <c r="H14" s="20" t="s">
        <v>133</v>
      </c>
      <c r="I14" s="20" t="s">
        <v>17</v>
      </c>
    </row>
    <row r="15" spans="1:10" ht="60">
      <c r="A15" s="132"/>
      <c r="B15" s="19" t="s">
        <v>127</v>
      </c>
      <c r="C15" s="19" t="s">
        <v>123</v>
      </c>
      <c r="D15" s="22" t="s">
        <v>132</v>
      </c>
      <c r="E15" s="19">
        <v>2025</v>
      </c>
      <c r="F15" s="22">
        <f>164827.6+220726.62</f>
        <v>385554.22</v>
      </c>
      <c r="G15" s="22" t="s">
        <v>135</v>
      </c>
      <c r="H15" s="19" t="s">
        <v>133</v>
      </c>
      <c r="I15" s="19" t="s">
        <v>17</v>
      </c>
    </row>
    <row r="16" spans="1:10" ht="45">
      <c r="A16" s="133"/>
      <c r="B16" s="19" t="s">
        <v>128</v>
      </c>
      <c r="C16" s="19" t="s">
        <v>124</v>
      </c>
      <c r="D16" s="22" t="s">
        <v>132</v>
      </c>
      <c r="E16" s="19">
        <v>2025</v>
      </c>
      <c r="F16" s="99">
        <v>2338343</v>
      </c>
      <c r="G16" s="22" t="s">
        <v>772</v>
      </c>
      <c r="H16" s="19" t="s">
        <v>133</v>
      </c>
      <c r="I16" s="19" t="s">
        <v>17</v>
      </c>
    </row>
    <row r="17" spans="1:9" ht="60">
      <c r="A17" s="19" t="s">
        <v>131</v>
      </c>
      <c r="B17" s="19" t="s">
        <v>129</v>
      </c>
      <c r="C17" s="19" t="s">
        <v>125</v>
      </c>
      <c r="D17" s="22" t="s">
        <v>132</v>
      </c>
      <c r="E17" s="19">
        <v>2025</v>
      </c>
      <c r="F17" s="22">
        <v>0</v>
      </c>
      <c r="G17" s="22" t="s">
        <v>135</v>
      </c>
      <c r="H17" s="19" t="s">
        <v>133</v>
      </c>
      <c r="I17" s="19" t="s">
        <v>17</v>
      </c>
    </row>
  </sheetData>
  <autoFilter ref="A3:I3" xr:uid="{00000000-0009-0000-0000-000007000000}">
    <filterColumn colId="0" showButton="0"/>
  </autoFilter>
  <mergeCells count="7">
    <mergeCell ref="A14:A16"/>
    <mergeCell ref="A10:A12"/>
    <mergeCell ref="A6:A8"/>
    <mergeCell ref="A1:I1"/>
    <mergeCell ref="B2:I2"/>
    <mergeCell ref="A3:B3"/>
    <mergeCell ref="A4:A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E5FF"/>
    <pageSetUpPr fitToPage="1"/>
  </sheetPr>
  <dimension ref="A1:J16"/>
  <sheetViews>
    <sheetView workbookViewId="0">
      <pane ySplit="3" topLeftCell="A9" activePane="bottomLeft" state="frozen"/>
      <selection pane="bottomLeft" activeCell="B2" sqref="B2:I2"/>
    </sheetView>
  </sheetViews>
  <sheetFormatPr defaultColWidth="9.140625" defaultRowHeight="15"/>
  <cols>
    <col min="1" max="3" width="20.7109375" style="1" customWidth="1"/>
    <col min="4" max="4" width="20.7109375" style="2" customWidth="1"/>
    <col min="5" max="5" width="20.7109375" style="1" customWidth="1"/>
    <col min="6" max="7" width="20.7109375" style="2" customWidth="1"/>
    <col min="8" max="10" width="20.7109375" style="1" customWidth="1"/>
    <col min="11" max="16384" width="9.140625" style="18"/>
  </cols>
  <sheetData>
    <row r="1" spans="1:10" ht="18.75" customHeight="1">
      <c r="A1" s="144" t="s">
        <v>162</v>
      </c>
      <c r="B1" s="144"/>
      <c r="C1" s="144"/>
      <c r="D1" s="144"/>
      <c r="E1" s="144"/>
      <c r="F1" s="144"/>
      <c r="G1" s="144"/>
      <c r="H1" s="144"/>
      <c r="I1" s="144"/>
    </row>
    <row r="2" spans="1:10" ht="18.75" customHeight="1">
      <c r="A2" s="30" t="s">
        <v>146</v>
      </c>
      <c r="B2" s="144" t="s">
        <v>147</v>
      </c>
      <c r="C2" s="144"/>
      <c r="D2" s="144"/>
      <c r="E2" s="144"/>
      <c r="F2" s="144"/>
      <c r="G2" s="144"/>
      <c r="H2" s="144"/>
      <c r="I2" s="144"/>
    </row>
    <row r="3" spans="1:10" s="16" customFormat="1" ht="75" customHeight="1">
      <c r="A3" s="145" t="s">
        <v>122</v>
      </c>
      <c r="B3" s="146"/>
      <c r="C3" s="31" t="s">
        <v>5</v>
      </c>
      <c r="D3" s="32" t="s">
        <v>97</v>
      </c>
      <c r="E3" s="31" t="s">
        <v>44</v>
      </c>
      <c r="F3" s="32" t="s">
        <v>43</v>
      </c>
      <c r="G3" s="32" t="s">
        <v>115</v>
      </c>
      <c r="H3" s="31" t="s">
        <v>51</v>
      </c>
      <c r="I3" s="31" t="s">
        <v>8</v>
      </c>
      <c r="J3" s="17"/>
    </row>
    <row r="4" spans="1:10" ht="30">
      <c r="A4" s="151" t="s">
        <v>130</v>
      </c>
      <c r="B4" s="3" t="s">
        <v>136</v>
      </c>
      <c r="C4" s="3" t="s">
        <v>139</v>
      </c>
      <c r="D4" s="4" t="s">
        <v>142</v>
      </c>
      <c r="E4" s="3">
        <v>2022</v>
      </c>
      <c r="F4" s="4">
        <f>'7-Energia'!F5</f>
        <v>2314445</v>
      </c>
      <c r="G4" s="4" t="s">
        <v>771</v>
      </c>
      <c r="H4" s="3" t="s">
        <v>133</v>
      </c>
      <c r="I4" s="3" t="s">
        <v>145</v>
      </c>
    </row>
    <row r="5" spans="1:10" ht="60">
      <c r="A5" s="151"/>
      <c r="B5" s="3" t="s">
        <v>137</v>
      </c>
      <c r="C5" s="3" t="s">
        <v>140</v>
      </c>
      <c r="D5" s="4" t="s">
        <v>143</v>
      </c>
      <c r="E5" s="3">
        <v>2022</v>
      </c>
      <c r="F5" s="4">
        <v>0</v>
      </c>
      <c r="G5" s="4" t="s">
        <v>773</v>
      </c>
      <c r="H5" s="3" t="s">
        <v>16</v>
      </c>
      <c r="I5" s="3" t="s">
        <v>17</v>
      </c>
    </row>
    <row r="6" spans="1:10" ht="45.75" thickBot="1">
      <c r="A6" s="152"/>
      <c r="B6" s="5" t="s">
        <v>138</v>
      </c>
      <c r="C6" s="5" t="s">
        <v>141</v>
      </c>
      <c r="D6" s="6" t="s">
        <v>144</v>
      </c>
      <c r="E6" s="5">
        <v>2022</v>
      </c>
      <c r="F6" s="6">
        <v>11686</v>
      </c>
      <c r="G6" s="6" t="s">
        <v>773</v>
      </c>
      <c r="H6" s="5" t="s">
        <v>16</v>
      </c>
      <c r="I6" s="5" t="s">
        <v>17</v>
      </c>
    </row>
    <row r="7" spans="1:10" ht="30.75" thickTop="1">
      <c r="A7" s="148" t="s">
        <v>130</v>
      </c>
      <c r="B7" s="67" t="s">
        <v>136</v>
      </c>
      <c r="C7" s="67" t="s">
        <v>139</v>
      </c>
      <c r="D7" s="68" t="s">
        <v>142</v>
      </c>
      <c r="E7" s="67">
        <v>2023</v>
      </c>
      <c r="F7" s="68">
        <f>'7-Energia'!F8</f>
        <v>2313123</v>
      </c>
      <c r="G7" s="68" t="s">
        <v>771</v>
      </c>
      <c r="H7" s="67" t="s">
        <v>133</v>
      </c>
      <c r="I7" s="67" t="s">
        <v>145</v>
      </c>
    </row>
    <row r="8" spans="1:10" ht="60">
      <c r="A8" s="149"/>
      <c r="B8" s="19" t="s">
        <v>137</v>
      </c>
      <c r="C8" s="19" t="s">
        <v>140</v>
      </c>
      <c r="D8" s="22" t="s">
        <v>143</v>
      </c>
      <c r="E8" s="19">
        <v>2023</v>
      </c>
      <c r="F8" s="22">
        <v>0</v>
      </c>
      <c r="G8" s="22" t="s">
        <v>773</v>
      </c>
      <c r="H8" s="19" t="s">
        <v>16</v>
      </c>
      <c r="I8" s="19" t="s">
        <v>17</v>
      </c>
    </row>
    <row r="9" spans="1:10" ht="45.75" thickBot="1">
      <c r="A9" s="150"/>
      <c r="B9" s="62" t="s">
        <v>138</v>
      </c>
      <c r="C9" s="62" t="s">
        <v>141</v>
      </c>
      <c r="D9" s="63" t="s">
        <v>144</v>
      </c>
      <c r="E9" s="62">
        <v>2023</v>
      </c>
      <c r="F9" s="63">
        <v>12496</v>
      </c>
      <c r="G9" s="63" t="s">
        <v>773</v>
      </c>
      <c r="H9" s="62" t="s">
        <v>16</v>
      </c>
      <c r="I9" s="62" t="s">
        <v>17</v>
      </c>
    </row>
    <row r="10" spans="1:10" ht="30.75" thickTop="1">
      <c r="A10" s="139" t="s">
        <v>130</v>
      </c>
      <c r="B10" s="38" t="s">
        <v>136</v>
      </c>
      <c r="C10" s="38" t="s">
        <v>139</v>
      </c>
      <c r="D10" s="40" t="s">
        <v>142</v>
      </c>
      <c r="E10" s="38">
        <v>2024</v>
      </c>
      <c r="F10" s="40">
        <f>'7-Energia'!F12</f>
        <v>2170322</v>
      </c>
      <c r="G10" s="40" t="s">
        <v>771</v>
      </c>
      <c r="H10" s="38" t="s">
        <v>133</v>
      </c>
      <c r="I10" s="38" t="s">
        <v>145</v>
      </c>
    </row>
    <row r="11" spans="1:10" ht="60">
      <c r="A11" s="151"/>
      <c r="B11" s="3" t="s">
        <v>137</v>
      </c>
      <c r="C11" s="3" t="s">
        <v>140</v>
      </c>
      <c r="D11" s="4" t="s">
        <v>143</v>
      </c>
      <c r="E11" s="3">
        <v>2024</v>
      </c>
      <c r="F11" s="4">
        <v>0</v>
      </c>
      <c r="G11" s="4" t="s">
        <v>773</v>
      </c>
      <c r="H11" s="3" t="s">
        <v>16</v>
      </c>
      <c r="I11" s="3" t="s">
        <v>17</v>
      </c>
    </row>
    <row r="12" spans="1:10" ht="45.75" thickBot="1">
      <c r="A12" s="151"/>
      <c r="B12" s="3" t="s">
        <v>138</v>
      </c>
      <c r="C12" s="3" t="s">
        <v>141</v>
      </c>
      <c r="D12" s="4" t="s">
        <v>144</v>
      </c>
      <c r="E12" s="3">
        <v>2024</v>
      </c>
      <c r="F12" s="4">
        <v>8937</v>
      </c>
      <c r="G12" s="4" t="s">
        <v>773</v>
      </c>
      <c r="H12" s="3" t="s">
        <v>16</v>
      </c>
      <c r="I12" s="3" t="s">
        <v>17</v>
      </c>
    </row>
    <row r="13" spans="1:10" ht="30.75" thickTop="1">
      <c r="A13" s="148" t="s">
        <v>130</v>
      </c>
      <c r="B13" s="67" t="s">
        <v>136</v>
      </c>
      <c r="C13" s="67" t="s">
        <v>139</v>
      </c>
      <c r="D13" s="68" t="s">
        <v>142</v>
      </c>
      <c r="E13" s="67">
        <v>2025</v>
      </c>
      <c r="F13" s="68">
        <f>'7-Energia'!F16</f>
        <v>2338343</v>
      </c>
      <c r="G13" s="68" t="s">
        <v>771</v>
      </c>
      <c r="H13" s="67" t="s">
        <v>133</v>
      </c>
      <c r="I13" s="67" t="s">
        <v>145</v>
      </c>
    </row>
    <row r="14" spans="1:10" ht="60">
      <c r="A14" s="149"/>
      <c r="B14" s="19" t="s">
        <v>137</v>
      </c>
      <c r="C14" s="19" t="s">
        <v>140</v>
      </c>
      <c r="D14" s="22" t="s">
        <v>143</v>
      </c>
      <c r="E14" s="19">
        <v>2025</v>
      </c>
      <c r="F14" s="22">
        <v>0</v>
      </c>
      <c r="G14" s="22" t="s">
        <v>773</v>
      </c>
      <c r="H14" s="19" t="s">
        <v>16</v>
      </c>
      <c r="I14" s="19" t="s">
        <v>17</v>
      </c>
    </row>
    <row r="15" spans="1:10" ht="45.75" thickBot="1">
      <c r="A15" s="150"/>
      <c r="B15" s="62" t="s">
        <v>138</v>
      </c>
      <c r="C15" s="62" t="s">
        <v>141</v>
      </c>
      <c r="D15" s="63" t="s">
        <v>144</v>
      </c>
      <c r="E15" s="62">
        <v>2025</v>
      </c>
      <c r="F15" s="63">
        <f>100949-93152</f>
        <v>7797</v>
      </c>
      <c r="G15" s="63" t="s">
        <v>773</v>
      </c>
      <c r="H15" s="62" t="s">
        <v>16</v>
      </c>
      <c r="I15" s="62" t="s">
        <v>17</v>
      </c>
    </row>
    <row r="16" spans="1:10" ht="15.75" thickTop="1"/>
  </sheetData>
  <autoFilter ref="A3:I3" xr:uid="{00000000-0009-0000-0000-000008000000}">
    <filterColumn colId="0" showButton="0"/>
  </autoFilter>
  <mergeCells count="7">
    <mergeCell ref="A13:A15"/>
    <mergeCell ref="A10:A12"/>
    <mergeCell ref="A1:I1"/>
    <mergeCell ref="B2:I2"/>
    <mergeCell ref="A3:B3"/>
    <mergeCell ref="A4:A6"/>
    <mergeCell ref="A7:A9"/>
  </mergeCells>
  <pageMargins left="0.25" right="0.25" top="0.75" bottom="0.7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29</vt:i4>
      </vt:variant>
    </vt:vector>
  </HeadingPairs>
  <TitlesOfParts>
    <vt:vector size="29" baseType="lpstr">
      <vt:lpstr>1-Materie prime e prodotti aus</vt:lpstr>
      <vt:lpstr>2(NP)-Rifiuti in ingresso</vt:lpstr>
      <vt:lpstr>3(NP)-EoW-MPS-Sottoprodotti</vt:lpstr>
      <vt:lpstr>4-Prodotti finiti</vt:lpstr>
      <vt:lpstr>4b-Sottoprodotti-EoW</vt:lpstr>
      <vt:lpstr>5(NP)-Controllo radiometrico</vt:lpstr>
      <vt:lpstr>6-Risorse idriche</vt:lpstr>
      <vt:lpstr>7-Energia</vt:lpstr>
      <vt:lpstr>8-Combustibili</vt:lpstr>
      <vt:lpstr>9-Emissioni in aria CT</vt:lpstr>
      <vt:lpstr>9-Emissioni in aria FIN-TIN</vt:lpstr>
      <vt:lpstr>10-Sistemi di trattamento fumi</vt:lpstr>
      <vt:lpstr>11-Emissioni diffuse</vt:lpstr>
      <vt:lpstr>11b-Emissioni odorigene</vt:lpstr>
      <vt:lpstr>12-Ingresso impianto di dep</vt:lpstr>
      <vt:lpstr>13-Uscita depuratore (SD)</vt:lpstr>
      <vt:lpstr>13-Uscita depuratore (SI)</vt:lpstr>
      <vt:lpstr>14-Gestione impianto di dep</vt:lpstr>
      <vt:lpstr>15-Rifiuti in uscita</vt:lpstr>
      <vt:lpstr>16-Suolo</vt:lpstr>
      <vt:lpstr>17-Acque sotterranee</vt:lpstr>
      <vt:lpstr>17a-Vasche e sistemi di cont</vt:lpstr>
      <vt:lpstr>17b-Verifica tenuta</vt:lpstr>
      <vt:lpstr>18-Audit SGA</vt:lpstr>
      <vt:lpstr>19-Sistemi di controllo</vt:lpstr>
      <vt:lpstr>20-Manutezione ordinaria</vt:lpstr>
      <vt:lpstr>21-Eventi accidentali</vt:lpstr>
      <vt:lpstr>21-Indicatori di performance</vt:lpstr>
      <vt:lpstr>22-Indicatori di circolarità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2026-06-03T10:07:54Z</dcterms:modified>
</cp:coreProperties>
</file>